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OH\CSRR\2023 Filings\07 - July\filing\"/>
    </mc:Choice>
  </mc:AlternateContent>
  <xr:revisionPtr revIDLastSave="0" documentId="13_ncr:1_{0914C0FF-7449-41C2-B7C6-BADD3B825A59}" xr6:coauthVersionLast="47" xr6:coauthVersionMax="47" xr10:uidLastSave="{00000000-0000-0000-0000-000000000000}"/>
  <bookViews>
    <workbookView xWindow="28680" yWindow="-120" windowWidth="29040" windowHeight="15840" tabRatio="713" activeTab="3" xr2:uid="{00000000-000D-0000-FFFF-FFFF00000000}"/>
  </bookViews>
  <sheets>
    <sheet name="Summary" sheetId="2" r:id="rId1"/>
    <sheet name="AA Cal" sheetId="5" r:id="rId2"/>
    <sheet name="RA Cal" sheetId="4" r:id="rId3"/>
    <sheet name="OSSCR Calc" sheetId="9" r:id="rId4"/>
    <sheet name="Activity" sheetId="1" state="hidden" r:id="rId5"/>
    <sheet name="Prior Quarter Rates" sheetId="7" state="hidden" r:id="rId6"/>
  </sheets>
  <definedNames>
    <definedName name="_xlnm.Print_Area" localSheetId="4">Activity!$A$1:$G$33</definedName>
    <definedName name="_xlnm.Print_Area" localSheetId="3">'OSSCR Calc'!$A$1:$G$46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9" l="1"/>
  <c r="B38" i="9"/>
  <c r="E33" i="1" l="1"/>
  <c r="A29" i="9" l="1"/>
  <c r="A30" i="9" s="1"/>
  <c r="E29" i="1" l="1"/>
  <c r="F29" i="1" s="1"/>
  <c r="E24" i="1" l="1"/>
  <c r="G24" i="1" s="1"/>
  <c r="F31" i="9" l="1"/>
  <c r="B31" i="9" l="1"/>
  <c r="A5" i="1" l="1"/>
  <c r="G26" i="1" l="1"/>
  <c r="G25" i="4" l="1"/>
  <c r="G19" i="5" l="1"/>
  <c r="G18" i="5" l="1"/>
  <c r="G17" i="5"/>
  <c r="A20" i="9" l="1"/>
  <c r="G21" i="5" l="1"/>
  <c r="A7" i="9" l="1"/>
  <c r="F16" i="9" l="1"/>
  <c r="F18" i="9" l="1"/>
  <c r="A6" i="4" l="1"/>
  <c r="A6" i="5" l="1"/>
  <c r="A3" i="5"/>
  <c r="A5" i="4"/>
  <c r="A3" i="4"/>
  <c r="G20" i="5" l="1"/>
  <c r="G16" i="5"/>
  <c r="G27" i="5"/>
  <c r="F40" i="2"/>
  <c r="F41" i="2"/>
  <c r="F39" i="2"/>
  <c r="F31" i="2"/>
  <c r="F32" i="2"/>
  <c r="F30" i="2"/>
  <c r="F22" i="2"/>
  <c r="F23" i="2"/>
  <c r="G15" i="5"/>
  <c r="G22" i="5"/>
  <c r="E7" i="1"/>
  <c r="F20" i="9" l="1"/>
  <c r="F22" i="9" s="1"/>
  <c r="F38" i="2" s="1"/>
  <c r="F42" i="2" s="1"/>
  <c r="L29" i="5"/>
  <c r="A25" i="4"/>
  <c r="G18" i="4"/>
  <c r="G22" i="4" s="1"/>
  <c r="G23" i="5"/>
  <c r="G25" i="5" s="1"/>
  <c r="G29" i="5" s="1"/>
  <c r="M29" i="5" l="1"/>
  <c r="F20" i="2"/>
  <c r="F24" i="7"/>
  <c r="F12" i="2"/>
  <c r="G27" i="4"/>
  <c r="F29" i="2" s="1"/>
  <c r="F33" i="2" s="1"/>
  <c r="F8" i="7" l="1"/>
  <c r="F11" i="2"/>
  <c r="F16" i="7"/>
  <c r="F21" i="2" l="1"/>
  <c r="F24" i="2" l="1"/>
  <c r="F10" i="2" l="1"/>
  <c r="F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Bell</author>
  </authors>
  <commentList>
    <comment ref="A1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Melissa Bell:</t>
        </r>
        <r>
          <rPr>
            <sz val="9"/>
            <color indexed="81"/>
            <rFont val="Tahoma"/>
            <family val="2"/>
          </rPr>
          <t xml:space="preserve">
GL account prior to PS Conversion (April 2014):  254-3415-15265</t>
        </r>
      </text>
    </comment>
  </commentList>
</comments>
</file>

<file path=xl/sharedStrings.xml><?xml version="1.0" encoding="utf-8"?>
<sst xmlns="http://schemas.openxmlformats.org/spreadsheetml/2006/main" count="228" uniqueCount="107">
  <si>
    <t>Columbia Gas of Ohio, Inc.</t>
  </si>
  <si>
    <t>Account</t>
  </si>
  <si>
    <t>No.</t>
  </si>
  <si>
    <t>Description</t>
  </si>
  <si>
    <t>Unrecovered Gas Costs</t>
  </si>
  <si>
    <t>Total</t>
  </si>
  <si>
    <t>Rate Refunds Suspended - Principal</t>
  </si>
  <si>
    <t>Gas Due to Line Breaks</t>
  </si>
  <si>
    <t>Standby Sales Service Charges</t>
  </si>
  <si>
    <t>End User Balancing</t>
  </si>
  <si>
    <t>Sheet 2</t>
  </si>
  <si>
    <t>Computation of CSRR Adjustment</t>
  </si>
  <si>
    <t>COLUMBIA GAS OF OHIO, INC.</t>
  </si>
  <si>
    <t>PARTICULARS</t>
  </si>
  <si>
    <t>Unit</t>
  </si>
  <si>
    <t xml:space="preserve"> Amount </t>
  </si>
  <si>
    <t>$/Mcf</t>
  </si>
  <si>
    <t>Supplier Refund &amp; Reconciliation Adjustment (RA)</t>
  </si>
  <si>
    <t>Actual Adjustment (AA)</t>
  </si>
  <si>
    <t>to</t>
  </si>
  <si>
    <t>SUPPLIER REFUND &amp; RECONCILIATION  ADJUSTMENT SUMMARY CALCULATION</t>
  </si>
  <si>
    <t>Current Quarter Supplier Refund &amp; Reconciliation Adjustment</t>
  </si>
  <si>
    <t>Previous Quarter Supplier Refund &amp; Reconciliation Adjustment</t>
  </si>
  <si>
    <t>Second Previous Quarter Supplier Refund &amp; Reconciliation Adjustment</t>
  </si>
  <si>
    <t>Third Previous Quarter Supplier Refund &amp; Reconciliation Adjustment</t>
  </si>
  <si>
    <t>ACTUAL ADJUSTMENT SUMMARY CALCULATION</t>
  </si>
  <si>
    <t>Current Quarter Actual Adjustment</t>
  </si>
  <si>
    <t>Previous Quarter Actual Adjustment</t>
  </si>
  <si>
    <t>Second Previous Quarter Actual Adjustment</t>
  </si>
  <si>
    <t>Third Previous Quarter Actual Adjustment</t>
  </si>
  <si>
    <t>CHOICE/SSO RECONCILATION RIDER</t>
  </si>
  <si>
    <t>Off-System Sales/Capacity Release Shared Revenue</t>
  </si>
  <si>
    <t>SUMMARY OF CHOICE/SSO RIDER</t>
  </si>
  <si>
    <t>Customer Education Cost Recovery Allowance</t>
  </si>
  <si>
    <t>OFF-SYSTEM SALES CAPACITY RELEASE REVENUE SHARING CALCULATION</t>
  </si>
  <si>
    <t>Total Off-System Sales/Capacity Release Adjustment</t>
  </si>
  <si>
    <t xml:space="preserve">Computation of Supplier Refund &amp; Reconciliation Adjustment </t>
  </si>
  <si>
    <t>Schedule A</t>
  </si>
  <si>
    <t>Schedule B</t>
  </si>
  <si>
    <t>Schedule C</t>
  </si>
  <si>
    <t>TME</t>
  </si>
  <si>
    <t>Activity</t>
  </si>
  <si>
    <t>OSS/CR CSRR</t>
  </si>
  <si>
    <t>Interest Factor</t>
  </si>
  <si>
    <t>Total, including Interest</t>
  </si>
  <si>
    <t>Volumes</t>
  </si>
  <si>
    <t>Remaining RA Balance</t>
  </si>
  <si>
    <t>Remaining OSS/CR Balance</t>
  </si>
  <si>
    <t>Balance Adjustment - BA</t>
  </si>
  <si>
    <t xml:space="preserve">Remaining Balance - Actual Cost Adjustment </t>
  </si>
  <si>
    <t>Balance Adjustment</t>
  </si>
  <si>
    <t>Link to appropriate cells on Summary Tab</t>
  </si>
  <si>
    <t>Take previous filing and copy Current Quarter,</t>
  </si>
  <si>
    <t>Previous Quarter, and Second Previous Quarter</t>
  </si>
  <si>
    <t>rates and paste into Previous Quarter, Second Previous Quarter</t>
  </si>
  <si>
    <t>and Third Previous Quarter</t>
  </si>
  <si>
    <t xml:space="preserve">OSS/CR Sharing </t>
  </si>
  <si>
    <t>CHOICE/SCO RECONCILATION RIDER</t>
  </si>
  <si>
    <t>$</t>
  </si>
  <si>
    <t>Current Quarter OSS/CR Cost Adjustment ($/Mcf)</t>
  </si>
  <si>
    <t>Current Quarter RA Cost Adjustment ($/Mcf)</t>
  </si>
  <si>
    <t>Current Quarter Actual Cost Adjustment ($/Mcf)</t>
  </si>
  <si>
    <t>(a)</t>
  </si>
  <si>
    <t>OSS/CR Detail:</t>
  </si>
  <si>
    <t>Month</t>
  </si>
  <si>
    <t>Customer Share</t>
  </si>
  <si>
    <t>Columbia Share</t>
  </si>
  <si>
    <t>Current YTD</t>
  </si>
  <si>
    <t>Stipulation Period to Date</t>
  </si>
  <si>
    <t>(a) OSS Shared revenues shown as a credit in order to reflect as a reduction to CSRR.</t>
  </si>
  <si>
    <t>Logo Fees</t>
  </si>
  <si>
    <t>CHOICE/SCO Rider Effective Date:</t>
  </si>
  <si>
    <t>IN CASE NO. 12-2637-GA-EXM</t>
  </si>
  <si>
    <t>THIS QUARTERLY REPORT FILED PURSUANT TO COMMISSION ORDER ISSUED JANUARY 9, 2013</t>
  </si>
  <si>
    <t>19100100</t>
  </si>
  <si>
    <t>24220300-N013</t>
  </si>
  <si>
    <t>25407150-N032</t>
  </si>
  <si>
    <t>25402600</t>
  </si>
  <si>
    <t>25407150-N015</t>
  </si>
  <si>
    <t>25407150-N022</t>
  </si>
  <si>
    <t>24220300-N019</t>
  </si>
  <si>
    <t>24220300</t>
  </si>
  <si>
    <t>25401450-YXXXX, 25405450-YXXXX/2540220-NS04</t>
  </si>
  <si>
    <t>25401450</t>
  </si>
  <si>
    <t>25402700 - SCO Supplier Deposits</t>
  </si>
  <si>
    <t>SCO Supplier Deposits</t>
  </si>
  <si>
    <t>25402700</t>
  </si>
  <si>
    <t>includes RA and OSS/CR Remaining Balance.  Ties to rec.</t>
  </si>
  <si>
    <t>Unrecovered Gas Costs - Actual Cost Adjustment</t>
  </si>
  <si>
    <t>25407150-N031</t>
  </si>
  <si>
    <t>Gas Transportation Service Supplemental Charges</t>
  </si>
  <si>
    <t xml:space="preserve">Computation of Actual Adjustment </t>
  </si>
  <si>
    <t xml:space="preserve">ties to CSRR Recon </t>
  </si>
  <si>
    <t>24220300-GP61</t>
  </si>
  <si>
    <t>Rate Refunds - TCO Penalty Credit</t>
  </si>
  <si>
    <t>Enter each October!</t>
  </si>
  <si>
    <t>By: Melissa L. Thompson</t>
  </si>
  <si>
    <t>Title: Director of Regulatory Policy</t>
  </si>
  <si>
    <t>Date Filed: November 22, 2022</t>
  </si>
  <si>
    <t>191 AA</t>
  </si>
  <si>
    <t>242 BA</t>
  </si>
  <si>
    <t>Effective June 29, 2023</t>
  </si>
  <si>
    <t xml:space="preserve"> for Three Months Ended March 31, 2023</t>
  </si>
  <si>
    <t>Total CHOICE/Sales Throughput TME March 31, 2023 (Mcf)</t>
  </si>
  <si>
    <t>April-13 through March 23</t>
  </si>
  <si>
    <t>Apr-22 through Mar-23</t>
  </si>
  <si>
    <t>Date Filed: May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</si>
</sst>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&quot;Total CHOICE/Sales Throughput TME&quot;\ mmmm\ dd\,yyyy"/>
    <numFmt numFmtId="167" formatCode="&quot;CSRR Adjustment Detail @&quot;\ mmmm\ dd\,\ yyyy"/>
    <numFmt numFmtId="168" formatCode="&quot;Bal.&quot;\ mm/dd/yyyy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  <numFmt numFmtId="171" formatCode="0.000"/>
    <numFmt numFmtId="172" formatCode="_(* #,##0.000_);_(* \(#,##0.0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rgb="FF3333FF"/>
      <name val="Arial"/>
      <family val="2"/>
    </font>
    <font>
      <b/>
      <u/>
      <sz val="10"/>
      <name val="Arial"/>
      <family val="2"/>
    </font>
    <font>
      <u/>
      <sz val="10"/>
      <color rgb="FF3333FF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165" fontId="0" fillId="0" borderId="0" xfId="1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8" fontId="0" fillId="0" borderId="0" xfId="0" applyNumberFormat="1" applyAlignment="1">
      <alignment horizontal="center"/>
    </xf>
    <xf numFmtId="5" fontId="3" fillId="0" borderId="0" xfId="0" applyNumberFormat="1" applyFont="1"/>
    <xf numFmtId="164" fontId="1" fillId="0" borderId="0" xfId="1" applyNumberFormat="1" applyFont="1"/>
    <xf numFmtId="165" fontId="0" fillId="0" borderId="5" xfId="1" applyNumberFormat="1" applyFont="1" applyFill="1" applyBorder="1"/>
    <xf numFmtId="17" fontId="3" fillId="0" borderId="0" xfId="0" applyNumberFormat="1" applyFont="1" applyAlignment="1">
      <alignment horizontal="center"/>
    </xf>
    <xf numFmtId="5" fontId="4" fillId="0" borderId="0" xfId="0" applyNumberFormat="1" applyFont="1"/>
    <xf numFmtId="17" fontId="6" fillId="0" borderId="0" xfId="0" applyNumberFormat="1" applyFont="1" applyAlignment="1">
      <alignment horizontal="center"/>
    </xf>
    <xf numFmtId="37" fontId="4" fillId="0" borderId="0" xfId="0" applyNumberFormat="1" applyFont="1"/>
    <xf numFmtId="37" fontId="0" fillId="0" borderId="0" xfId="0" applyNumberFormat="1"/>
    <xf numFmtId="165" fontId="0" fillId="0" borderId="6" xfId="1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165" fontId="0" fillId="0" borderId="2" xfId="1" applyNumberFormat="1" applyFont="1" applyBorder="1"/>
    <xf numFmtId="164" fontId="8" fillId="0" borderId="0" xfId="1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9" fontId="0" fillId="0" borderId="0" xfId="2" applyNumberFormat="1" applyFont="1"/>
    <xf numFmtId="164" fontId="0" fillId="0" borderId="0" xfId="1" applyNumberFormat="1" applyFont="1" applyBorder="1"/>
    <xf numFmtId="164" fontId="11" fillId="0" borderId="0" xfId="1" applyNumberFormat="1" applyFont="1" applyAlignment="1">
      <alignment horizontal="center"/>
    </xf>
    <xf numFmtId="164" fontId="11" fillId="0" borderId="0" xfId="1" applyNumberFormat="1" applyFont="1"/>
    <xf numFmtId="164" fontId="0" fillId="0" borderId="0" xfId="1" applyNumberFormat="1" applyFont="1" applyFill="1" applyBorder="1"/>
    <xf numFmtId="0" fontId="1" fillId="0" borderId="0" xfId="4"/>
    <xf numFmtId="0" fontId="1" fillId="0" borderId="0" xfId="4" applyAlignment="1">
      <alignment horizontal="right"/>
    </xf>
    <xf numFmtId="0" fontId="1" fillId="0" borderId="0" xfId="4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/>
    <xf numFmtId="14" fontId="1" fillId="0" borderId="0" xfId="4" applyNumberFormat="1" applyAlignment="1">
      <alignment horizontal="center"/>
    </xf>
    <xf numFmtId="0" fontId="1" fillId="0" borderId="0" xfId="4" applyAlignment="1">
      <alignment horizontal="left"/>
    </xf>
    <xf numFmtId="0" fontId="3" fillId="0" borderId="0" xfId="4" applyFont="1"/>
    <xf numFmtId="0" fontId="13" fillId="0" borderId="0" xfId="4" applyFont="1" applyAlignment="1">
      <alignment horizontal="center"/>
    </xf>
    <xf numFmtId="39" fontId="1" fillId="0" borderId="0" xfId="4" applyNumberFormat="1"/>
    <xf numFmtId="0" fontId="1" fillId="0" borderId="0" xfId="4" quotePrefix="1"/>
    <xf numFmtId="39" fontId="12" fillId="0" borderId="0" xfId="4" applyNumberFormat="1" applyFont="1"/>
    <xf numFmtId="0" fontId="1" fillId="0" borderId="0" xfId="0" quotePrefix="1" applyFont="1"/>
    <xf numFmtId="170" fontId="0" fillId="0" borderId="0" xfId="2" applyNumberFormat="1" applyFont="1"/>
    <xf numFmtId="0" fontId="0" fillId="0" borderId="0" xfId="0" quotePrefix="1"/>
    <xf numFmtId="0" fontId="1" fillId="0" borderId="0" xfId="4" quotePrefix="1" applyAlignment="1">
      <alignment horizontal="left"/>
    </xf>
    <xf numFmtId="14" fontId="0" fillId="0" borderId="0" xfId="0" applyNumberFormat="1"/>
    <xf numFmtId="2" fontId="1" fillId="0" borderId="0" xfId="4" applyNumberFormat="1"/>
    <xf numFmtId="44" fontId="0" fillId="0" borderId="0" xfId="0" applyNumberFormat="1"/>
    <xf numFmtId="0" fontId="5" fillId="0" borderId="0" xfId="0" applyFont="1" applyAlignment="1">
      <alignment horizontal="center"/>
    </xf>
    <xf numFmtId="164" fontId="1" fillId="0" borderId="0" xfId="1" applyNumberFormat="1" applyFont="1" applyFill="1"/>
    <xf numFmtId="0" fontId="12" fillId="0" borderId="0" xfId="4" applyFont="1"/>
    <xf numFmtId="0" fontId="3" fillId="0" borderId="0" xfId="4" applyFont="1" applyAlignment="1">
      <alignment horizontal="right"/>
    </xf>
    <xf numFmtId="43" fontId="3" fillId="0" borderId="0" xfId="0" applyNumberFormat="1" applyFont="1"/>
    <xf numFmtId="43" fontId="1" fillId="0" borderId="0" xfId="1" applyFont="1" applyFill="1" applyBorder="1"/>
    <xf numFmtId="0" fontId="12" fillId="0" borderId="0" xfId="0" applyFont="1"/>
    <xf numFmtId="0" fontId="5" fillId="0" borderId="0" xfId="0" applyFont="1"/>
    <xf numFmtId="165" fontId="11" fillId="0" borderId="0" xfId="1" applyNumberFormat="1" applyFont="1" applyBorder="1" applyAlignment="1">
      <alignment vertical="center"/>
    </xf>
    <xf numFmtId="43" fontId="0" fillId="0" borderId="0" xfId="1" applyFont="1" applyFill="1"/>
    <xf numFmtId="43" fontId="0" fillId="0" borderId="0" xfId="1" applyFont="1" applyFill="1" applyBorder="1"/>
    <xf numFmtId="37" fontId="3" fillId="0" borderId="0" xfId="0" applyNumberFormat="1" applyFont="1"/>
    <xf numFmtId="164" fontId="0" fillId="0" borderId="0" xfId="1" applyNumberFormat="1" applyFont="1" applyFill="1"/>
    <xf numFmtId="164" fontId="1" fillId="0" borderId="0" xfId="1" applyNumberFormat="1" applyFont="1" applyFill="1" applyBorder="1"/>
    <xf numFmtId="43" fontId="0" fillId="0" borderId="0" xfId="0" applyNumberFormat="1"/>
    <xf numFmtId="164" fontId="4" fillId="0" borderId="0" xfId="1" applyNumberFormat="1" applyFont="1" applyFill="1" applyBorder="1"/>
    <xf numFmtId="164" fontId="4" fillId="0" borderId="0" xfId="1" applyNumberFormat="1" applyFont="1" applyFill="1"/>
    <xf numFmtId="165" fontId="1" fillId="0" borderId="5" xfId="1" applyNumberFormat="1" applyFont="1" applyFill="1" applyBorder="1"/>
    <xf numFmtId="165" fontId="12" fillId="0" borderId="6" xfId="1" applyNumberFormat="1" applyFont="1" applyFill="1" applyBorder="1"/>
    <xf numFmtId="0" fontId="3" fillId="0" borderId="0" xfId="0" applyFont="1"/>
    <xf numFmtId="165" fontId="12" fillId="0" borderId="7" xfId="1" applyNumberFormat="1" applyFont="1" applyFill="1" applyBorder="1"/>
    <xf numFmtId="165" fontId="0" fillId="0" borderId="0" xfId="1" applyNumberFormat="1" applyFont="1" applyFill="1"/>
    <xf numFmtId="43" fontId="3" fillId="2" borderId="0" xfId="1" applyFont="1" applyFill="1"/>
    <xf numFmtId="43" fontId="0" fillId="2" borderId="0" xfId="1" applyFont="1" applyFill="1"/>
    <xf numFmtId="14" fontId="12" fillId="0" borderId="0" xfId="0" applyNumberFormat="1" applyFont="1"/>
    <xf numFmtId="17" fontId="12" fillId="0" borderId="0" xfId="4" applyNumberFormat="1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71" fontId="1" fillId="0" borderId="0" xfId="4" applyNumberFormat="1"/>
    <xf numFmtId="164" fontId="12" fillId="0" borderId="0" xfId="1" applyNumberFormat="1" applyFont="1" applyFill="1"/>
    <xf numFmtId="43" fontId="12" fillId="0" borderId="0" xfId="1" applyFont="1" applyFill="1"/>
    <xf numFmtId="43" fontId="12" fillId="0" borderId="8" xfId="1" applyFont="1" applyFill="1" applyBorder="1"/>
    <xf numFmtId="165" fontId="0" fillId="0" borderId="7" xfId="1" applyNumberFormat="1" applyFont="1" applyFill="1" applyBorder="1"/>
    <xf numFmtId="169" fontId="0" fillId="0" borderId="0" xfId="0" applyNumberFormat="1"/>
    <xf numFmtId="43" fontId="18" fillId="0" borderId="0" xfId="1" applyFont="1" applyFill="1"/>
    <xf numFmtId="164" fontId="12" fillId="3" borderId="0" xfId="1" applyNumberFormat="1" applyFont="1" applyFill="1"/>
    <xf numFmtId="43" fontId="1" fillId="0" borderId="8" xfId="1" applyFont="1" applyFill="1" applyBorder="1"/>
    <xf numFmtId="43" fontId="14" fillId="0" borderId="0" xfId="1" applyFont="1" applyFill="1"/>
    <xf numFmtId="43" fontId="3" fillId="0" borderId="0" xfId="1" applyFont="1" applyFill="1"/>
    <xf numFmtId="43" fontId="1" fillId="0" borderId="0" xfId="1" applyFill="1"/>
    <xf numFmtId="43" fontId="15" fillId="0" borderId="0" xfId="1" applyFont="1" applyFill="1"/>
    <xf numFmtId="172" fontId="12" fillId="0" borderId="0" xfId="1" applyNumberFormat="1" applyFont="1" applyFill="1"/>
    <xf numFmtId="0" fontId="15" fillId="0" borderId="0" xfId="4" applyFont="1"/>
    <xf numFmtId="164" fontId="12" fillId="0" borderId="0" xfId="0" applyNumberFormat="1" applyFont="1"/>
    <xf numFmtId="39" fontId="15" fillId="0" borderId="0" xfId="4" applyNumberFormat="1" applyFont="1"/>
    <xf numFmtId="15" fontId="12" fillId="0" borderId="0" xfId="0" applyNumberFormat="1" applyFont="1"/>
    <xf numFmtId="17" fontId="1" fillId="0" borderId="0" xfId="4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6" fontId="12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1" fillId="0" borderId="0" xfId="4" applyAlignment="1">
      <alignment horizontal="center"/>
    </xf>
    <xf numFmtId="166" fontId="1" fillId="0" borderId="0" xfId="4" applyNumberFormat="1" applyAlignment="1">
      <alignment horizontal="left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4" xr:uid="{00000000-0005-0000-0000-000006000000}"/>
  </cellStyles>
  <dxfs count="0"/>
  <tableStyles count="0" defaultTableStyle="TableStyleMedium2" defaultPivotStyle="PivotStyleLight16"/>
  <colors>
    <mruColors>
      <color rgb="FF3333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8</xdr:row>
      <xdr:rowOff>28575</xdr:rowOff>
    </xdr:from>
    <xdr:to>
      <xdr:col>6</xdr:col>
      <xdr:colOff>390525</xdr:colOff>
      <xdr:row>10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48425" y="1343025"/>
          <a:ext cx="323850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142874</xdr:colOff>
      <xdr:row>15</xdr:row>
      <xdr:rowOff>152400</xdr:rowOff>
    </xdr:from>
    <xdr:to>
      <xdr:col>6</xdr:col>
      <xdr:colOff>495299</xdr:colOff>
      <xdr:row>18</xdr:row>
      <xdr:rowOff>142875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24624" y="26289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123825</xdr:colOff>
      <xdr:row>24</xdr:row>
      <xdr:rowOff>0</xdr:rowOff>
    </xdr:from>
    <xdr:to>
      <xdr:col>6</xdr:col>
      <xdr:colOff>476250</xdr:colOff>
      <xdr:row>26</xdr:row>
      <xdr:rowOff>152400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05575" y="39624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48"/>
  <sheetViews>
    <sheetView zoomScaleNormal="100" zoomScaleSheetLayoutView="100" workbookViewId="0">
      <selection activeCell="B54" sqref="B54"/>
    </sheetView>
  </sheetViews>
  <sheetFormatPr defaultRowHeight="12.75" x14ac:dyDescent="0.2"/>
  <cols>
    <col min="2" max="2" width="9.5703125" bestFit="1" customWidth="1"/>
    <col min="3" max="3" width="48.5703125" customWidth="1"/>
    <col min="4" max="4" width="9.7109375" bestFit="1" customWidth="1"/>
    <col min="5" max="5" width="8.140625" customWidth="1"/>
    <col min="6" max="6" width="11.42578125" customWidth="1"/>
    <col min="7" max="7" width="8.85546875" bestFit="1" customWidth="1"/>
    <col min="9" max="9" width="9.7109375" bestFit="1" customWidth="1"/>
  </cols>
  <sheetData>
    <row r="1" spans="1:6" x14ac:dyDescent="0.2">
      <c r="A1" s="106" t="s">
        <v>12</v>
      </c>
      <c r="B1" s="106"/>
      <c r="C1" s="106"/>
      <c r="D1" s="106"/>
      <c r="E1" s="106"/>
      <c r="F1" s="106"/>
    </row>
    <row r="2" spans="1:6" x14ac:dyDescent="0.2">
      <c r="A2" s="108"/>
      <c r="B2" s="108"/>
      <c r="C2" s="108"/>
      <c r="D2" s="108"/>
      <c r="E2" s="108"/>
      <c r="F2" s="108"/>
    </row>
    <row r="3" spans="1:6" x14ac:dyDescent="0.2">
      <c r="A3" s="108" t="s">
        <v>57</v>
      </c>
      <c r="B3" s="108"/>
      <c r="C3" s="108"/>
      <c r="D3" s="108"/>
      <c r="E3" s="108"/>
      <c r="F3" s="108"/>
    </row>
    <row r="4" spans="1:6" x14ac:dyDescent="0.2">
      <c r="A4" s="109" t="s">
        <v>101</v>
      </c>
      <c r="B4" s="109"/>
      <c r="C4" s="109"/>
      <c r="D4" s="109"/>
      <c r="E4" s="109"/>
      <c r="F4" s="109"/>
    </row>
    <row r="6" spans="1:6" x14ac:dyDescent="0.2">
      <c r="A6" s="107" t="s">
        <v>11</v>
      </c>
      <c r="B6" s="107"/>
      <c r="C6" s="107"/>
      <c r="D6" s="107"/>
      <c r="E6" s="107"/>
      <c r="F6" s="107"/>
    </row>
    <row r="7" spans="1:6" ht="13.5" thickBot="1" x14ac:dyDescent="0.25">
      <c r="A7" s="10"/>
      <c r="B7" s="10"/>
      <c r="C7" s="10"/>
      <c r="D7" s="7"/>
    </row>
    <row r="8" spans="1:6" ht="13.5" thickBot="1" x14ac:dyDescent="0.25">
      <c r="A8" s="110" t="s">
        <v>13</v>
      </c>
      <c r="B8" s="110"/>
      <c r="C8" s="110"/>
      <c r="D8" s="11"/>
      <c r="E8" s="9" t="s">
        <v>14</v>
      </c>
      <c r="F8" s="9" t="s">
        <v>15</v>
      </c>
    </row>
    <row r="9" spans="1:6" x14ac:dyDescent="0.2">
      <c r="A9" s="8" t="s">
        <v>32</v>
      </c>
      <c r="B9" s="2"/>
      <c r="C9" s="2"/>
      <c r="D9" s="2"/>
      <c r="F9" s="12"/>
    </row>
    <row r="10" spans="1:6" x14ac:dyDescent="0.2">
      <c r="B10" t="s">
        <v>18</v>
      </c>
      <c r="E10" t="s">
        <v>16</v>
      </c>
      <c r="F10" s="13">
        <f>F24</f>
        <v>0.31590000000000001</v>
      </c>
    </row>
    <row r="11" spans="1:6" x14ac:dyDescent="0.2">
      <c r="B11" t="s">
        <v>17</v>
      </c>
      <c r="E11" t="s">
        <v>16</v>
      </c>
      <c r="F11" s="13">
        <f>F33</f>
        <v>-0.16290000000000002</v>
      </c>
    </row>
    <row r="12" spans="1:6" x14ac:dyDescent="0.2">
      <c r="B12" t="s">
        <v>31</v>
      </c>
      <c r="E12" t="s">
        <v>16</v>
      </c>
      <c r="F12" s="13">
        <f>F42</f>
        <v>-8.8499999999999995E-2</v>
      </c>
    </row>
    <row r="13" spans="1:6" ht="13.5" thickBot="1" x14ac:dyDescent="0.25">
      <c r="B13" t="s">
        <v>33</v>
      </c>
      <c r="E13" t="s">
        <v>16</v>
      </c>
      <c r="F13" s="91">
        <v>0</v>
      </c>
    </row>
    <row r="14" spans="1:6" ht="13.5" thickBot="1" x14ac:dyDescent="0.25">
      <c r="A14" t="s">
        <v>5</v>
      </c>
      <c r="E14" t="s">
        <v>16</v>
      </c>
      <c r="F14" s="14">
        <f>SUM(F10:F13)</f>
        <v>6.4500000000000002E-2</v>
      </c>
    </row>
    <row r="16" spans="1:6" x14ac:dyDescent="0.2">
      <c r="B16" t="s">
        <v>71</v>
      </c>
      <c r="D16" s="104">
        <v>45106</v>
      </c>
      <c r="E16" s="59" t="s">
        <v>19</v>
      </c>
      <c r="F16" s="104">
        <v>45196</v>
      </c>
    </row>
    <row r="17" spans="1:6" x14ac:dyDescent="0.2">
      <c r="D17" s="5"/>
      <c r="E17" s="2"/>
      <c r="F17" s="5"/>
    </row>
    <row r="18" spans="1:6" ht="13.5" thickBot="1" x14ac:dyDescent="0.25">
      <c r="A18" t="s">
        <v>25</v>
      </c>
    </row>
    <row r="19" spans="1:6" ht="13.5" thickBot="1" x14ac:dyDescent="0.25">
      <c r="A19" s="106" t="s">
        <v>13</v>
      </c>
      <c r="B19" s="106"/>
      <c r="C19" s="106"/>
      <c r="D19" s="106"/>
      <c r="E19" t="s">
        <v>14</v>
      </c>
      <c r="F19" s="9" t="s">
        <v>15</v>
      </c>
    </row>
    <row r="20" spans="1:6" x14ac:dyDescent="0.2">
      <c r="B20" t="s">
        <v>26</v>
      </c>
      <c r="E20" t="s">
        <v>16</v>
      </c>
      <c r="F20" s="18">
        <f>'AA Cal'!G29</f>
        <v>0.24940000000000001</v>
      </c>
    </row>
    <row r="21" spans="1:6" x14ac:dyDescent="0.2">
      <c r="B21" t="s">
        <v>27</v>
      </c>
      <c r="E21" t="s">
        <v>16</v>
      </c>
      <c r="F21" s="24">
        <f>'Prior Quarter Rates'!F9</f>
        <v>0.46250000000000002</v>
      </c>
    </row>
    <row r="22" spans="1:6" x14ac:dyDescent="0.2">
      <c r="B22" t="s">
        <v>28</v>
      </c>
      <c r="E22" t="s">
        <v>16</v>
      </c>
      <c r="F22" s="24">
        <f>'Prior Quarter Rates'!F10</f>
        <v>7.7999999999999996E-3</v>
      </c>
    </row>
    <row r="23" spans="1:6" ht="13.5" thickBot="1" x14ac:dyDescent="0.25">
      <c r="B23" t="s">
        <v>29</v>
      </c>
      <c r="E23" t="s">
        <v>16</v>
      </c>
      <c r="F23" s="24">
        <f>'Prior Quarter Rates'!F11</f>
        <v>-0.40379999999999999</v>
      </c>
    </row>
    <row r="24" spans="1:6" ht="13.5" thickBot="1" x14ac:dyDescent="0.25">
      <c r="A24" t="s">
        <v>18</v>
      </c>
      <c r="E24" t="s">
        <v>16</v>
      </c>
      <c r="F24" s="28">
        <f>SUM(F20:F23)</f>
        <v>0.31590000000000001</v>
      </c>
    </row>
    <row r="27" spans="1:6" ht="13.5" thickBot="1" x14ac:dyDescent="0.25">
      <c r="A27" t="s">
        <v>20</v>
      </c>
    </row>
    <row r="28" spans="1:6" ht="13.5" thickBot="1" x14ac:dyDescent="0.25">
      <c r="A28" s="106" t="s">
        <v>13</v>
      </c>
      <c r="B28" s="106"/>
      <c r="C28" s="106"/>
      <c r="D28" s="106"/>
      <c r="E28" t="s">
        <v>14</v>
      </c>
      <c r="F28" s="9" t="s">
        <v>15</v>
      </c>
    </row>
    <row r="29" spans="1:6" x14ac:dyDescent="0.2">
      <c r="B29" t="s">
        <v>21</v>
      </c>
      <c r="E29" t="s">
        <v>16</v>
      </c>
      <c r="F29" s="18">
        <f>'RA Cal'!G27</f>
        <v>0</v>
      </c>
    </row>
    <row r="30" spans="1:6" x14ac:dyDescent="0.2">
      <c r="B30" t="s">
        <v>22</v>
      </c>
      <c r="E30" t="s">
        <v>16</v>
      </c>
      <c r="F30" s="13">
        <f>'Prior Quarter Rates'!F17</f>
        <v>1.6000000000000001E-3</v>
      </c>
    </row>
    <row r="31" spans="1:6" x14ac:dyDescent="0.2">
      <c r="B31" t="s">
        <v>23</v>
      </c>
      <c r="E31" t="s">
        <v>16</v>
      </c>
      <c r="F31" s="13">
        <f>'Prior Quarter Rates'!F18</f>
        <v>0</v>
      </c>
    </row>
    <row r="32" spans="1:6" ht="13.5" thickBot="1" x14ac:dyDescent="0.25">
      <c r="B32" t="s">
        <v>24</v>
      </c>
      <c r="E32" t="s">
        <v>16</v>
      </c>
      <c r="F32" s="13">
        <f>'Prior Quarter Rates'!F19</f>
        <v>-0.16450000000000001</v>
      </c>
    </row>
    <row r="33" spans="1:6" ht="13.5" thickBot="1" x14ac:dyDescent="0.25">
      <c r="A33" t="s">
        <v>17</v>
      </c>
      <c r="E33" t="s">
        <v>16</v>
      </c>
      <c r="F33" s="28">
        <f>SUM(F29:F32)</f>
        <v>-0.16290000000000002</v>
      </c>
    </row>
    <row r="36" spans="1:6" ht="13.5" thickBot="1" x14ac:dyDescent="0.25">
      <c r="A36" t="s">
        <v>34</v>
      </c>
    </row>
    <row r="37" spans="1:6" ht="13.5" thickBot="1" x14ac:dyDescent="0.25">
      <c r="A37" s="106" t="s">
        <v>13</v>
      </c>
      <c r="B37" s="106"/>
      <c r="C37" s="106"/>
      <c r="D37" s="106"/>
      <c r="E37" t="s">
        <v>14</v>
      </c>
      <c r="F37" s="9" t="s">
        <v>15</v>
      </c>
    </row>
    <row r="38" spans="1:6" x14ac:dyDescent="0.2">
      <c r="B38" t="s">
        <v>26</v>
      </c>
      <c r="E38" t="s">
        <v>16</v>
      </c>
      <c r="F38" s="18">
        <f>'OSSCR Calc'!F22</f>
        <v>-2.9399999999999999E-2</v>
      </c>
    </row>
    <row r="39" spans="1:6" x14ac:dyDescent="0.2">
      <c r="B39" t="s">
        <v>27</v>
      </c>
      <c r="E39" t="s">
        <v>16</v>
      </c>
      <c r="F39" s="13">
        <f>'Prior Quarter Rates'!F25</f>
        <v>-2.6100000000000002E-2</v>
      </c>
    </row>
    <row r="40" spans="1:6" x14ac:dyDescent="0.2">
      <c r="B40" t="s">
        <v>28</v>
      </c>
      <c r="E40" t="s">
        <v>16</v>
      </c>
      <c r="F40" s="13">
        <f>'Prior Quarter Rates'!F26</f>
        <v>-1.8499999999999999E-2</v>
      </c>
    </row>
    <row r="41" spans="1:6" ht="13.5" thickBot="1" x14ac:dyDescent="0.25">
      <c r="B41" t="s">
        <v>29</v>
      </c>
      <c r="E41" t="s">
        <v>16</v>
      </c>
      <c r="F41" s="13">
        <f>'Prior Quarter Rates'!F27</f>
        <v>-1.4500000000000001E-2</v>
      </c>
    </row>
    <row r="42" spans="1:6" ht="13.5" thickBot="1" x14ac:dyDescent="0.25">
      <c r="A42" t="s">
        <v>35</v>
      </c>
      <c r="E42" t="s">
        <v>16</v>
      </c>
      <c r="F42" s="28">
        <f>SUM(F38:F41)</f>
        <v>-8.8499999999999995E-2</v>
      </c>
    </row>
    <row r="43" spans="1:6" x14ac:dyDescent="0.2">
      <c r="F43" s="6"/>
    </row>
    <row r="44" spans="1:6" x14ac:dyDescent="0.2">
      <c r="A44" s="32" t="s">
        <v>73</v>
      </c>
    </row>
    <row r="45" spans="1:6" x14ac:dyDescent="0.2">
      <c r="A45" s="32" t="s">
        <v>72</v>
      </c>
    </row>
    <row r="47" spans="1:6" x14ac:dyDescent="0.2">
      <c r="A47" s="65" t="s">
        <v>106</v>
      </c>
      <c r="B47" s="66"/>
      <c r="F47" s="4" t="s">
        <v>96</v>
      </c>
    </row>
    <row r="48" spans="1:6" x14ac:dyDescent="0.2">
      <c r="F48" s="4" t="s">
        <v>97</v>
      </c>
    </row>
  </sheetData>
  <mergeCells count="9">
    <mergeCell ref="A37:D37"/>
    <mergeCell ref="A28:D28"/>
    <mergeCell ref="A19:D19"/>
    <mergeCell ref="A6:F6"/>
    <mergeCell ref="A1:F1"/>
    <mergeCell ref="A3:F3"/>
    <mergeCell ref="A2:F2"/>
    <mergeCell ref="A4:F4"/>
    <mergeCell ref="A8:C8"/>
  </mergeCells>
  <phoneticPr fontId="2" type="noConversion"/>
  <printOptions horizontalCentered="1"/>
  <pageMargins left="0.75" right="0.75" top="1" bottom="1" header="0.5" footer="0.5"/>
  <pageSetup scale="9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3"/>
  <sheetViews>
    <sheetView zoomScaleNormal="100" workbookViewId="0">
      <selection activeCell="B54" sqref="B54"/>
    </sheetView>
  </sheetViews>
  <sheetFormatPr defaultRowHeight="12.75" x14ac:dyDescent="0.2"/>
  <cols>
    <col min="1" max="1" width="23.7109375" customWidth="1"/>
    <col min="2" max="2" width="16.85546875" customWidth="1"/>
    <col min="4" max="4" width="5.7109375" customWidth="1"/>
    <col min="5" max="5" width="2.28515625" customWidth="1"/>
    <col min="6" max="6" width="8" customWidth="1"/>
    <col min="7" max="7" width="29.85546875" bestFit="1" customWidth="1"/>
    <col min="8" max="8" width="11.28515625" bestFit="1" customWidth="1"/>
    <col min="12" max="13" width="0" hidden="1" customWidth="1"/>
  </cols>
  <sheetData>
    <row r="1" spans="1:8" x14ac:dyDescent="0.2">
      <c r="G1" s="4" t="s">
        <v>37</v>
      </c>
    </row>
    <row r="3" spans="1:8" x14ac:dyDescent="0.2">
      <c r="A3" s="108" t="str">
        <f>Summary!A1</f>
        <v>COLUMBIA GAS OF OHIO, INC.</v>
      </c>
      <c r="B3" s="108"/>
      <c r="C3" s="108"/>
      <c r="D3" s="108"/>
      <c r="E3" s="108"/>
      <c r="F3" s="108"/>
      <c r="G3" s="108"/>
    </row>
    <row r="6" spans="1:8" x14ac:dyDescent="0.2">
      <c r="A6" s="106" t="str">
        <f>Summary!A3</f>
        <v>CHOICE/SCO RECONCILATION RIDER</v>
      </c>
      <c r="B6" s="106"/>
      <c r="C6" s="106"/>
      <c r="D6" s="106"/>
      <c r="E6" s="106"/>
      <c r="F6" s="106"/>
      <c r="G6" s="106"/>
    </row>
    <row r="7" spans="1:8" x14ac:dyDescent="0.2">
      <c r="A7" s="109" t="s">
        <v>102</v>
      </c>
      <c r="B7" s="109"/>
      <c r="C7" s="109"/>
      <c r="D7" s="109"/>
      <c r="E7" s="109"/>
      <c r="F7" s="109"/>
      <c r="G7" s="109"/>
    </row>
    <row r="8" spans="1:8" x14ac:dyDescent="0.2">
      <c r="A8" s="33"/>
      <c r="B8" s="33"/>
      <c r="C8" s="33"/>
      <c r="D8" s="33"/>
      <c r="E8" s="33"/>
      <c r="F8" s="33"/>
      <c r="G8" s="33"/>
    </row>
    <row r="9" spans="1:8" x14ac:dyDescent="0.2">
      <c r="A9" s="106" t="s">
        <v>91</v>
      </c>
      <c r="B9" s="106"/>
      <c r="C9" s="106"/>
      <c r="D9" s="106"/>
      <c r="E9" s="106"/>
      <c r="F9" s="106"/>
      <c r="G9" s="106"/>
    </row>
    <row r="10" spans="1:8" x14ac:dyDescent="0.2">
      <c r="G10" s="2"/>
    </row>
    <row r="11" spans="1:8" x14ac:dyDescent="0.2">
      <c r="A11" s="2" t="s">
        <v>1</v>
      </c>
      <c r="G11" s="2"/>
    </row>
    <row r="12" spans="1:8" x14ac:dyDescent="0.2">
      <c r="A12" s="30" t="s">
        <v>2</v>
      </c>
      <c r="B12" s="30" t="s">
        <v>3</v>
      </c>
      <c r="C12" s="31"/>
      <c r="D12" s="31"/>
      <c r="E12" s="31"/>
      <c r="F12" s="31"/>
      <c r="G12" s="30" t="s">
        <v>41</v>
      </c>
    </row>
    <row r="13" spans="1:8" x14ac:dyDescent="0.2">
      <c r="A13" s="2"/>
      <c r="B13" s="2"/>
      <c r="G13" s="34" t="s">
        <v>58</v>
      </c>
    </row>
    <row r="14" spans="1:8" x14ac:dyDescent="0.2">
      <c r="A14" s="2"/>
      <c r="B14" s="2"/>
      <c r="G14" s="34"/>
    </row>
    <row r="15" spans="1:8" x14ac:dyDescent="0.2">
      <c r="A15" s="54" t="s">
        <v>74</v>
      </c>
      <c r="B15" t="s">
        <v>4</v>
      </c>
      <c r="G15" s="1">
        <f>Activity!E11</f>
        <v>35476509.439999998</v>
      </c>
      <c r="H15" s="3"/>
    </row>
    <row r="16" spans="1:8" x14ac:dyDescent="0.2">
      <c r="A16" s="54" t="s">
        <v>74</v>
      </c>
      <c r="B16" t="s">
        <v>49</v>
      </c>
      <c r="G16" s="1">
        <f>Activity!E12</f>
        <v>1536156.07</v>
      </c>
    </row>
    <row r="17" spans="1:13" x14ac:dyDescent="0.2">
      <c r="A17" s="54" t="s">
        <v>75</v>
      </c>
      <c r="B17" t="s">
        <v>50</v>
      </c>
      <c r="G17" s="1">
        <f>Activity!E13+Activity!E14+Activity!E15</f>
        <v>-123150.92000000001</v>
      </c>
      <c r="H17" s="3"/>
    </row>
    <row r="18" spans="1:13" x14ac:dyDescent="0.2">
      <c r="A18" s="54" t="s">
        <v>86</v>
      </c>
      <c r="B18" s="32" t="s">
        <v>85</v>
      </c>
      <c r="G18" s="1">
        <f>Activity!E17</f>
        <v>0</v>
      </c>
    </row>
    <row r="19" spans="1:13" x14ac:dyDescent="0.2">
      <c r="A19" s="54" t="s">
        <v>89</v>
      </c>
      <c r="B19" s="32" t="s">
        <v>90</v>
      </c>
      <c r="G19" s="1">
        <f>Activity!E19</f>
        <v>0</v>
      </c>
    </row>
    <row r="20" spans="1:13" x14ac:dyDescent="0.2">
      <c r="A20" s="54" t="s">
        <v>76</v>
      </c>
      <c r="B20" t="s">
        <v>7</v>
      </c>
      <c r="G20" s="1">
        <f>Activity!E20</f>
        <v>-49810.94</v>
      </c>
    </row>
    <row r="21" spans="1:13" x14ac:dyDescent="0.2">
      <c r="A21" s="54" t="s">
        <v>77</v>
      </c>
      <c r="B21" t="s">
        <v>70</v>
      </c>
      <c r="G21" s="1">
        <f>Activity!E22</f>
        <v>-11667.74</v>
      </c>
    </row>
    <row r="22" spans="1:13" x14ac:dyDescent="0.2">
      <c r="A22" s="54" t="s">
        <v>78</v>
      </c>
      <c r="B22" t="s">
        <v>8</v>
      </c>
      <c r="G22" s="1">
        <f>Activity!E21</f>
        <v>-878032.07</v>
      </c>
    </row>
    <row r="23" spans="1:13" ht="15" x14ac:dyDescent="0.35">
      <c r="A23" s="54" t="s">
        <v>79</v>
      </c>
      <c r="B23" t="s">
        <v>9</v>
      </c>
      <c r="G23" s="38">
        <f>Activity!E23</f>
        <v>-468674.58</v>
      </c>
    </row>
    <row r="24" spans="1:13" x14ac:dyDescent="0.2">
      <c r="G24" s="39"/>
    </row>
    <row r="25" spans="1:13" x14ac:dyDescent="0.2">
      <c r="A25" s="2" t="s">
        <v>5</v>
      </c>
      <c r="G25" s="1">
        <f>SUM(G15:G23)</f>
        <v>35481329.259999998</v>
      </c>
    </row>
    <row r="26" spans="1:13" x14ac:dyDescent="0.2">
      <c r="G26" s="1"/>
      <c r="H26" s="3"/>
    </row>
    <row r="27" spans="1:13" x14ac:dyDescent="0.2">
      <c r="A27" s="111" t="s">
        <v>103</v>
      </c>
      <c r="B27" s="111"/>
      <c r="C27" s="111"/>
      <c r="D27" s="111"/>
      <c r="G27" s="1">
        <f>Activity!G2</f>
        <v>142280866</v>
      </c>
    </row>
    <row r="28" spans="1:13" x14ac:dyDescent="0.2">
      <c r="G28" s="1"/>
      <c r="L28" t="s">
        <v>99</v>
      </c>
      <c r="M28" t="s">
        <v>100</v>
      </c>
    </row>
    <row r="29" spans="1:13" x14ac:dyDescent="0.2">
      <c r="A29" s="32" t="s">
        <v>61</v>
      </c>
      <c r="G29" s="6">
        <f>ROUND(G25/$G$27,4)</f>
        <v>0.24940000000000001</v>
      </c>
      <c r="L29" s="6">
        <f>ROUND(SUM(G15:G16)/$G$27,4)</f>
        <v>0.2601</v>
      </c>
      <c r="M29" s="6">
        <f>ROUND(SUM(G17:G23)/$G$27,4)</f>
        <v>-1.0800000000000001E-2</v>
      </c>
    </row>
    <row r="30" spans="1:13" x14ac:dyDescent="0.2">
      <c r="A30" s="56"/>
      <c r="F30" s="1"/>
    </row>
    <row r="31" spans="1:13" x14ac:dyDescent="0.2">
      <c r="A31" s="56"/>
      <c r="F31" s="1"/>
    </row>
    <row r="32" spans="1:13" x14ac:dyDescent="0.2">
      <c r="A32" s="56"/>
      <c r="F32" s="1"/>
    </row>
    <row r="33" spans="6:6" x14ac:dyDescent="0.2">
      <c r="F33" s="1"/>
    </row>
  </sheetData>
  <mergeCells count="5">
    <mergeCell ref="A3:G3"/>
    <mergeCell ref="A6:G6"/>
    <mergeCell ref="A9:G9"/>
    <mergeCell ref="A27:D27"/>
    <mergeCell ref="A7:G7"/>
  </mergeCells>
  <phoneticPr fontId="2" type="noConversion"/>
  <printOptions horizontalCentered="1"/>
  <pageMargins left="0.75" right="0.75" top="1" bottom="1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36"/>
  <sheetViews>
    <sheetView topLeftCell="A9" zoomScaleNormal="100" workbookViewId="0">
      <selection activeCell="B54" sqref="B54"/>
    </sheetView>
  </sheetViews>
  <sheetFormatPr defaultRowHeight="12.75" x14ac:dyDescent="0.2"/>
  <cols>
    <col min="1" max="1" width="22.5703125" customWidth="1"/>
    <col min="2" max="2" width="7.85546875" customWidth="1"/>
    <col min="3" max="3" width="9.28515625" customWidth="1"/>
    <col min="4" max="4" width="10.42578125" customWidth="1"/>
    <col min="5" max="5" width="4.42578125" customWidth="1"/>
    <col min="6" max="6" width="3.5703125" customWidth="1"/>
    <col min="7" max="7" width="15.5703125" customWidth="1"/>
  </cols>
  <sheetData>
    <row r="1" spans="1:7" x14ac:dyDescent="0.2">
      <c r="G1" s="4" t="s">
        <v>38</v>
      </c>
    </row>
    <row r="3" spans="1:7" x14ac:dyDescent="0.2">
      <c r="A3" s="108" t="str">
        <f>Summary!A1</f>
        <v>COLUMBIA GAS OF OHIO, INC.</v>
      </c>
      <c r="B3" s="108"/>
      <c r="C3" s="108"/>
      <c r="D3" s="108"/>
      <c r="E3" s="108"/>
      <c r="F3" s="108"/>
      <c r="G3" s="108"/>
    </row>
    <row r="5" spans="1:7" x14ac:dyDescent="0.2">
      <c r="A5" s="106" t="str">
        <f>Summary!A3</f>
        <v>CHOICE/SCO RECONCILATION RIDER</v>
      </c>
      <c r="B5" s="106"/>
      <c r="C5" s="106"/>
      <c r="D5" s="106"/>
      <c r="E5" s="106"/>
      <c r="F5" s="106"/>
      <c r="G5" s="106"/>
    </row>
    <row r="6" spans="1:7" x14ac:dyDescent="0.2">
      <c r="A6" s="108" t="str">
        <f>'AA Cal'!A7:G7</f>
        <v xml:space="preserve"> for Three Months Ended March 31, 2023</v>
      </c>
      <c r="B6" s="108"/>
      <c r="C6" s="108"/>
      <c r="D6" s="108"/>
      <c r="E6" s="108"/>
      <c r="F6" s="108"/>
      <c r="G6" s="108"/>
    </row>
    <row r="7" spans="1:7" x14ac:dyDescent="0.2">
      <c r="A7" s="33"/>
      <c r="B7" s="2"/>
      <c r="C7" s="2"/>
      <c r="D7" s="2"/>
      <c r="E7" s="2"/>
      <c r="F7" s="2"/>
    </row>
    <row r="8" spans="1:7" x14ac:dyDescent="0.2">
      <c r="A8" s="106" t="s">
        <v>36</v>
      </c>
      <c r="B8" s="106"/>
      <c r="C8" s="106"/>
      <c r="D8" s="106"/>
      <c r="E8" s="106"/>
      <c r="F8" s="106"/>
      <c r="G8" s="106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G11" s="2"/>
    </row>
    <row r="12" spans="1:7" x14ac:dyDescent="0.2">
      <c r="G12" s="2"/>
    </row>
    <row r="13" spans="1:7" x14ac:dyDescent="0.2">
      <c r="A13" s="2" t="s">
        <v>1</v>
      </c>
      <c r="G13" s="2"/>
    </row>
    <row r="14" spans="1:7" x14ac:dyDescent="0.2">
      <c r="A14" s="30" t="s">
        <v>2</v>
      </c>
      <c r="B14" s="31" t="s">
        <v>3</v>
      </c>
      <c r="C14" s="31"/>
      <c r="D14" s="31"/>
      <c r="E14" s="31"/>
      <c r="F14" s="31"/>
      <c r="G14" s="30" t="s">
        <v>41</v>
      </c>
    </row>
    <row r="15" spans="1:7" x14ac:dyDescent="0.2">
      <c r="A15" s="2"/>
      <c r="B15" s="2"/>
      <c r="G15" s="34" t="s">
        <v>58</v>
      </c>
    </row>
    <row r="16" spans="1:7" x14ac:dyDescent="0.2">
      <c r="G16" s="1"/>
    </row>
    <row r="17" spans="1:9" x14ac:dyDescent="0.2">
      <c r="G17" s="1"/>
    </row>
    <row r="18" spans="1:9" x14ac:dyDescent="0.2">
      <c r="A18" s="54" t="s">
        <v>81</v>
      </c>
      <c r="B18" t="s">
        <v>6</v>
      </c>
      <c r="G18" s="35">
        <f>Activity!E29</f>
        <v>3400.3299999999995</v>
      </c>
    </row>
    <row r="19" spans="1:9" ht="9" customHeight="1" x14ac:dyDescent="0.2"/>
    <row r="20" spans="1:9" ht="15" x14ac:dyDescent="0.2">
      <c r="B20" s="25" t="s">
        <v>43</v>
      </c>
      <c r="C20" s="25"/>
      <c r="D20" s="26"/>
      <c r="G20" s="67">
        <v>1.0549999999999999</v>
      </c>
    </row>
    <row r="21" spans="1:9" x14ac:dyDescent="0.2">
      <c r="G21" s="1"/>
    </row>
    <row r="22" spans="1:9" x14ac:dyDescent="0.2">
      <c r="A22" s="26" t="s">
        <v>44</v>
      </c>
      <c r="B22" s="25"/>
      <c r="G22" s="35">
        <f>ROUND(G18*G20,2)</f>
        <v>3587.35</v>
      </c>
      <c r="I22" s="58"/>
    </row>
    <row r="23" spans="1:9" x14ac:dyDescent="0.2">
      <c r="G23" s="1"/>
      <c r="I23" s="92"/>
    </row>
    <row r="24" spans="1:9" x14ac:dyDescent="0.2">
      <c r="G24" s="1"/>
    </row>
    <row r="25" spans="1:9" x14ac:dyDescent="0.2">
      <c r="A25" s="112" t="str">
        <f>'AA Cal'!$A$27</f>
        <v>Total CHOICE/Sales Throughput TME March 31, 2023 (Mcf)</v>
      </c>
      <c r="B25" s="112"/>
      <c r="C25" s="112"/>
      <c r="D25" s="112"/>
      <c r="E25" s="112"/>
      <c r="G25" s="1">
        <f>Activity!G2</f>
        <v>142280866</v>
      </c>
    </row>
    <row r="26" spans="1:9" x14ac:dyDescent="0.2">
      <c r="G26" s="1"/>
    </row>
    <row r="27" spans="1:9" x14ac:dyDescent="0.2">
      <c r="A27" s="32" t="s">
        <v>60</v>
      </c>
      <c r="G27" s="53">
        <f>ROUND((G22)/G25,4)</f>
        <v>0</v>
      </c>
      <c r="I27" s="58"/>
    </row>
    <row r="28" spans="1:9" x14ac:dyDescent="0.2">
      <c r="A28" s="56"/>
    </row>
    <row r="29" spans="1:9" x14ac:dyDescent="0.2">
      <c r="A29" s="56"/>
    </row>
    <row r="30" spans="1:9" x14ac:dyDescent="0.2">
      <c r="A30" s="56"/>
    </row>
    <row r="36" spans="1:1" x14ac:dyDescent="0.2">
      <c r="A36" s="27"/>
    </row>
  </sheetData>
  <mergeCells count="5">
    <mergeCell ref="A3:G3"/>
    <mergeCell ref="A5:G5"/>
    <mergeCell ref="A8:G8"/>
    <mergeCell ref="A25:E25"/>
    <mergeCell ref="A6:G6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3"/>
  <sheetViews>
    <sheetView tabSelected="1" zoomScaleNormal="100" workbookViewId="0">
      <selection activeCell="J60" sqref="J60"/>
    </sheetView>
  </sheetViews>
  <sheetFormatPr defaultColWidth="8.85546875" defaultRowHeight="12.75" x14ac:dyDescent="0.2"/>
  <cols>
    <col min="1" max="1" width="26.42578125" style="40" customWidth="1"/>
    <col min="2" max="2" width="28.5703125" style="40" customWidth="1"/>
    <col min="3" max="3" width="3.85546875" style="40" customWidth="1"/>
    <col min="4" max="4" width="3.140625" style="40" customWidth="1"/>
    <col min="5" max="5" width="3" style="40" customWidth="1"/>
    <col min="6" max="6" width="29.85546875" style="40" bestFit="1" customWidth="1"/>
    <col min="7" max="7" width="4" style="40" bestFit="1" customWidth="1"/>
    <col min="8" max="8" width="13.42578125" style="40" bestFit="1" customWidth="1"/>
    <col min="9" max="9" width="10.5703125" style="40" bestFit="1" customWidth="1"/>
    <col min="10" max="10" width="13.42578125" style="40" bestFit="1" customWidth="1"/>
    <col min="11" max="11" width="10.5703125" style="40" bestFit="1" customWidth="1"/>
    <col min="12" max="13" width="13.42578125" style="40" bestFit="1" customWidth="1"/>
    <col min="14" max="16384" width="8.85546875" style="40"/>
  </cols>
  <sheetData>
    <row r="1" spans="1:7" x14ac:dyDescent="0.2">
      <c r="F1" s="41" t="s">
        <v>39</v>
      </c>
    </row>
    <row r="3" spans="1:7" x14ac:dyDescent="0.2">
      <c r="A3" s="113" t="s">
        <v>12</v>
      </c>
      <c r="B3" s="113"/>
      <c r="C3" s="113"/>
      <c r="D3" s="113"/>
      <c r="E3" s="113"/>
      <c r="F3" s="113"/>
    </row>
    <row r="5" spans="1:7" x14ac:dyDescent="0.2">
      <c r="A5" s="113" t="s">
        <v>57</v>
      </c>
      <c r="B5" s="113"/>
      <c r="C5" s="113"/>
      <c r="D5" s="113"/>
      <c r="E5" s="113"/>
      <c r="F5" s="113"/>
    </row>
    <row r="7" spans="1:7" x14ac:dyDescent="0.2">
      <c r="A7" s="113" t="str">
        <f>'AA Cal'!A7:G7</f>
        <v xml:space="preserve"> for Three Months Ended March 31, 2023</v>
      </c>
      <c r="B7" s="113"/>
      <c r="C7" s="113"/>
      <c r="D7" s="113"/>
      <c r="E7" s="113"/>
      <c r="F7" s="113"/>
    </row>
    <row r="8" spans="1:7" x14ac:dyDescent="0.2">
      <c r="A8" s="42"/>
      <c r="B8" s="42"/>
      <c r="C8" s="42"/>
      <c r="D8" s="42"/>
      <c r="E8" s="42"/>
      <c r="F8" s="42"/>
    </row>
    <row r="9" spans="1:7" x14ac:dyDescent="0.2">
      <c r="A9" s="42"/>
      <c r="B9" s="42"/>
      <c r="C9" s="42"/>
      <c r="D9" s="42"/>
      <c r="E9" s="42"/>
      <c r="F9" s="42"/>
    </row>
    <row r="10" spans="1:7" x14ac:dyDescent="0.2">
      <c r="F10" s="42"/>
    </row>
    <row r="11" spans="1:7" x14ac:dyDescent="0.2">
      <c r="F11" s="42"/>
    </row>
    <row r="12" spans="1:7" x14ac:dyDescent="0.2">
      <c r="A12" s="42" t="s">
        <v>1</v>
      </c>
      <c r="F12" s="42"/>
    </row>
    <row r="13" spans="1:7" x14ac:dyDescent="0.2">
      <c r="A13" s="43" t="s">
        <v>2</v>
      </c>
      <c r="B13" s="43" t="s">
        <v>3</v>
      </c>
      <c r="C13" s="44"/>
      <c r="D13" s="44"/>
      <c r="E13" s="44"/>
      <c r="F13" s="43" t="s">
        <v>41</v>
      </c>
    </row>
    <row r="14" spans="1:7" x14ac:dyDescent="0.2">
      <c r="A14" s="42"/>
      <c r="B14" s="42"/>
      <c r="F14" s="45" t="s">
        <v>58</v>
      </c>
    </row>
    <row r="15" spans="1:7" x14ac:dyDescent="0.2">
      <c r="A15" s="42"/>
      <c r="B15" s="42"/>
      <c r="F15" s="45"/>
    </row>
    <row r="16" spans="1:7" ht="15" x14ac:dyDescent="0.35">
      <c r="A16" s="55" t="s">
        <v>83</v>
      </c>
      <c r="B16" s="46" t="s">
        <v>42</v>
      </c>
      <c r="F16" s="37">
        <f>Activity!E32</f>
        <v>-4180724.49</v>
      </c>
      <c r="G16" s="40" t="s">
        <v>62</v>
      </c>
    </row>
    <row r="17" spans="1:10" x14ac:dyDescent="0.2">
      <c r="F17" s="36"/>
    </row>
    <row r="18" spans="1:10" x14ac:dyDescent="0.2">
      <c r="A18" s="42" t="s">
        <v>5</v>
      </c>
      <c r="F18" s="1">
        <f>SUM(F16:F16)</f>
        <v>-4180724.49</v>
      </c>
    </row>
    <row r="19" spans="1:10" x14ac:dyDescent="0.2">
      <c r="F19" s="1"/>
    </row>
    <row r="20" spans="1:10" x14ac:dyDescent="0.2">
      <c r="A20" s="114" t="str">
        <f>'AA Cal'!A27:D27</f>
        <v>Total CHOICE/Sales Throughput TME March 31, 2023 (Mcf)</v>
      </c>
      <c r="B20" s="114"/>
      <c r="C20" s="114"/>
      <c r="D20" s="114"/>
      <c r="E20" s="114"/>
      <c r="F20" s="17">
        <f>'AA Cal'!G27</f>
        <v>142280866</v>
      </c>
    </row>
    <row r="21" spans="1:10" x14ac:dyDescent="0.2">
      <c r="F21" s="1"/>
    </row>
    <row r="22" spans="1:10" x14ac:dyDescent="0.2">
      <c r="A22" s="40" t="s">
        <v>59</v>
      </c>
      <c r="F22" s="6">
        <f>ROUND(F18/F20,4)</f>
        <v>-2.9399999999999999E-2</v>
      </c>
    </row>
    <row r="25" spans="1:10" x14ac:dyDescent="0.2">
      <c r="A25" s="47" t="s">
        <v>63</v>
      </c>
    </row>
    <row r="27" spans="1:10" x14ac:dyDescent="0.2">
      <c r="A27" s="48" t="s">
        <v>64</v>
      </c>
      <c r="B27" s="48" t="s">
        <v>65</v>
      </c>
      <c r="C27" s="48"/>
      <c r="D27" s="48"/>
      <c r="E27" s="48"/>
      <c r="F27" s="48" t="s">
        <v>66</v>
      </c>
    </row>
    <row r="28" spans="1:10" x14ac:dyDescent="0.2">
      <c r="A28" s="84">
        <v>44927</v>
      </c>
      <c r="B28" s="89">
        <v>1681963.42</v>
      </c>
      <c r="C28" s="89"/>
      <c r="D28" s="89"/>
      <c r="E28" s="89"/>
      <c r="F28" s="89">
        <v>420490.86</v>
      </c>
      <c r="H28" s="60"/>
    </row>
    <row r="29" spans="1:10" x14ac:dyDescent="0.2">
      <c r="A29" s="105">
        <f>A28+31</f>
        <v>44958</v>
      </c>
      <c r="B29" s="89">
        <v>1258453.42</v>
      </c>
      <c r="C29" s="89"/>
      <c r="D29" s="89"/>
      <c r="E29" s="89"/>
      <c r="F29" s="89">
        <v>314613.36</v>
      </c>
      <c r="H29" s="60"/>
    </row>
    <row r="30" spans="1:10" x14ac:dyDescent="0.2">
      <c r="A30" s="105">
        <f>A29+31</f>
        <v>44989</v>
      </c>
      <c r="B30" s="96">
        <v>1240307.6499999999</v>
      </c>
      <c r="C30" s="89"/>
      <c r="D30" s="89"/>
      <c r="E30" s="89"/>
      <c r="F30" s="96">
        <v>310077.90999999997</v>
      </c>
      <c r="H30" s="60"/>
    </row>
    <row r="31" spans="1:10" x14ac:dyDescent="0.2">
      <c r="A31" s="62" t="s">
        <v>5</v>
      </c>
      <c r="B31" s="97">
        <f>SUM(B28:B30)</f>
        <v>4180724.4899999998</v>
      </c>
      <c r="C31" s="98"/>
      <c r="D31" s="98"/>
      <c r="E31" s="98"/>
      <c r="F31" s="97">
        <f>SUM(F28:F30)</f>
        <v>1045182.1299999999</v>
      </c>
      <c r="H31" s="60"/>
    </row>
    <row r="32" spans="1:10" x14ac:dyDescent="0.2">
      <c r="B32" s="98"/>
      <c r="C32" s="98"/>
      <c r="D32" s="98"/>
      <c r="E32" s="98"/>
      <c r="F32" s="98"/>
      <c r="J32" s="49"/>
    </row>
    <row r="33" spans="1:13" x14ac:dyDescent="0.2">
      <c r="B33" s="98"/>
      <c r="C33" s="98"/>
      <c r="D33" s="98"/>
      <c r="E33" s="98"/>
      <c r="F33" s="98"/>
    </row>
    <row r="34" spans="1:13" x14ac:dyDescent="0.2">
      <c r="A34" s="85" t="s">
        <v>67</v>
      </c>
      <c r="B34" s="98"/>
      <c r="C34" s="98"/>
      <c r="D34" s="98"/>
      <c r="E34" s="98"/>
      <c r="F34" s="98"/>
      <c r="I34" s="57"/>
      <c r="J34" s="57"/>
      <c r="K34" s="57"/>
    </row>
    <row r="35" spans="1:13" x14ac:dyDescent="0.2">
      <c r="A35" s="61" t="s">
        <v>105</v>
      </c>
      <c r="B35" s="89">
        <v>13001084</v>
      </c>
      <c r="C35" s="99"/>
      <c r="D35" s="99"/>
      <c r="E35" s="99"/>
      <c r="F35" s="89">
        <v>3250270.99</v>
      </c>
      <c r="H35" s="103"/>
      <c r="I35" s="57"/>
      <c r="J35" s="57"/>
      <c r="K35" s="57"/>
      <c r="L35" s="49"/>
      <c r="M35" s="57"/>
    </row>
    <row r="36" spans="1:13" x14ac:dyDescent="0.2">
      <c r="B36" s="51"/>
      <c r="C36" s="101"/>
      <c r="D36" s="101"/>
      <c r="E36" s="101"/>
      <c r="F36" s="51"/>
    </row>
    <row r="37" spans="1:13" x14ac:dyDescent="0.2">
      <c r="A37" s="86" t="s">
        <v>68</v>
      </c>
      <c r="B37" s="99"/>
      <c r="C37" s="99"/>
      <c r="D37" s="99"/>
      <c r="E37" s="99"/>
      <c r="F37" s="99"/>
    </row>
    <row r="38" spans="1:13" x14ac:dyDescent="0.2">
      <c r="A38" s="61" t="s">
        <v>104</v>
      </c>
      <c r="B38" s="89">
        <f>54982385.42+B31</f>
        <v>59163109.910000004</v>
      </c>
      <c r="C38" s="99"/>
      <c r="D38" s="99"/>
      <c r="E38" s="99"/>
      <c r="F38" s="89">
        <f>32458501.07+F31</f>
        <v>33503683.199999999</v>
      </c>
      <c r="H38" s="49"/>
      <c r="J38" s="49"/>
      <c r="L38" s="49"/>
      <c r="M38" s="49"/>
    </row>
    <row r="39" spans="1:13" x14ac:dyDescent="0.2">
      <c r="B39" s="49"/>
      <c r="F39" s="49"/>
    </row>
    <row r="40" spans="1:13" x14ac:dyDescent="0.2">
      <c r="B40" s="51"/>
      <c r="F40" s="51"/>
    </row>
    <row r="41" spans="1:13" x14ac:dyDescent="0.2">
      <c r="B41" s="49"/>
      <c r="F41" s="49"/>
    </row>
    <row r="45" spans="1:13" x14ac:dyDescent="0.2">
      <c r="A45" s="40" t="s">
        <v>69</v>
      </c>
    </row>
    <row r="46" spans="1:13" x14ac:dyDescent="0.2">
      <c r="A46" s="50"/>
    </row>
    <row r="53" spans="6:6" x14ac:dyDescent="0.2">
      <c r="F53" s="87"/>
    </row>
  </sheetData>
  <mergeCells count="4">
    <mergeCell ref="A3:F3"/>
    <mergeCell ref="A5:F5"/>
    <mergeCell ref="A7:F7"/>
    <mergeCell ref="A20:E20"/>
  </mergeCells>
  <printOptions horizontalCentered="1"/>
  <pageMargins left="0.75" right="0.75" top="1" bottom="1" header="0.5" footer="0.5"/>
  <pageSetup scale="91" orientation="portrait" r:id="rId1"/>
  <headerFooter alignWithMargins="0"/>
  <ignoredErrors>
    <ignoredError sqref="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FFFF00"/>
    <pageSetUpPr fitToPage="1"/>
  </sheetPr>
  <dimension ref="A1:M43"/>
  <sheetViews>
    <sheetView zoomScaleNormal="100" workbookViewId="0">
      <selection activeCell="E24" sqref="E24"/>
    </sheetView>
  </sheetViews>
  <sheetFormatPr defaultRowHeight="12.75" x14ac:dyDescent="0.2"/>
  <cols>
    <col min="1" max="1" width="41" customWidth="1"/>
    <col min="2" max="2" width="43.7109375" bestFit="1" customWidth="1"/>
    <col min="3" max="4" width="0" hidden="1" customWidth="1"/>
    <col min="5" max="5" width="15.5703125" bestFit="1" customWidth="1"/>
    <col min="6" max="6" width="13.5703125" bestFit="1" customWidth="1"/>
    <col min="7" max="7" width="14.5703125" bestFit="1" customWidth="1"/>
    <col min="8" max="8" width="12.85546875" bestFit="1" customWidth="1"/>
    <col min="9" max="9" width="16.28515625" customWidth="1"/>
    <col min="10" max="10" width="11.85546875" bestFit="1" customWidth="1"/>
    <col min="11" max="11" width="13.5703125" customWidth="1"/>
    <col min="12" max="12" width="13" customWidth="1"/>
  </cols>
  <sheetData>
    <row r="1" spans="1:12" x14ac:dyDescent="0.2">
      <c r="E1" s="4" t="s">
        <v>10</v>
      </c>
      <c r="F1" t="s">
        <v>40</v>
      </c>
      <c r="G1" s="83">
        <v>45016</v>
      </c>
    </row>
    <row r="2" spans="1:12" x14ac:dyDescent="0.2">
      <c r="F2" t="s">
        <v>45</v>
      </c>
      <c r="G2" s="88">
        <v>142280866</v>
      </c>
      <c r="H2" s="56"/>
    </row>
    <row r="4" spans="1:12" x14ac:dyDescent="0.2">
      <c r="A4" s="106" t="s">
        <v>0</v>
      </c>
      <c r="B4" s="106"/>
      <c r="C4" s="106"/>
      <c r="D4" s="106"/>
      <c r="E4" s="106"/>
      <c r="G4" s="3"/>
    </row>
    <row r="5" spans="1:12" x14ac:dyDescent="0.2">
      <c r="A5" s="115">
        <f>G1</f>
        <v>45016</v>
      </c>
      <c r="B5" s="115"/>
      <c r="C5" s="115"/>
      <c r="D5" s="115"/>
      <c r="E5" s="115"/>
      <c r="H5" s="106"/>
      <c r="I5" s="106"/>
      <c r="J5" s="106"/>
      <c r="K5" s="106"/>
      <c r="L5" s="106"/>
    </row>
    <row r="7" spans="1:12" x14ac:dyDescent="0.2">
      <c r="E7" s="15">
        <f>G1</f>
        <v>45016</v>
      </c>
      <c r="G7" s="29"/>
    </row>
    <row r="8" spans="1:12" x14ac:dyDescent="0.2">
      <c r="H8" s="19"/>
      <c r="I8" s="19"/>
      <c r="J8" s="19"/>
    </row>
    <row r="9" spans="1:12" x14ac:dyDescent="0.2">
      <c r="A9" s="2" t="s">
        <v>1</v>
      </c>
      <c r="H9" s="20"/>
      <c r="I9" s="20"/>
      <c r="J9" s="20"/>
      <c r="K9" s="16"/>
    </row>
    <row r="10" spans="1:12" x14ac:dyDescent="0.2">
      <c r="A10" s="2" t="s">
        <v>2</v>
      </c>
      <c r="B10" s="2" t="s">
        <v>3</v>
      </c>
      <c r="E10" s="65"/>
      <c r="H10" s="20"/>
      <c r="I10" s="20"/>
      <c r="J10" s="20"/>
      <c r="K10" s="16"/>
    </row>
    <row r="11" spans="1:12" x14ac:dyDescent="0.2">
      <c r="A11" s="54" t="s">
        <v>74</v>
      </c>
      <c r="B11" t="s">
        <v>4</v>
      </c>
      <c r="E11" s="89">
        <v>35476509.439999998</v>
      </c>
      <c r="F11" s="3"/>
      <c r="H11" s="20"/>
      <c r="I11" s="20"/>
      <c r="J11" s="20"/>
      <c r="K11" s="16"/>
    </row>
    <row r="12" spans="1:12" x14ac:dyDescent="0.2">
      <c r="A12" s="54" t="s">
        <v>74</v>
      </c>
      <c r="B12" t="s">
        <v>88</v>
      </c>
      <c r="E12" s="89">
        <v>1536156.07</v>
      </c>
      <c r="F12" s="27"/>
      <c r="H12" s="20"/>
      <c r="I12" s="20"/>
      <c r="J12" s="20"/>
      <c r="K12" s="16"/>
      <c r="L12" s="21"/>
    </row>
    <row r="13" spans="1:12" x14ac:dyDescent="0.2">
      <c r="A13" s="54" t="s">
        <v>75</v>
      </c>
      <c r="B13" t="s">
        <v>48</v>
      </c>
      <c r="E13" s="89">
        <v>-53126.98</v>
      </c>
      <c r="F13" s="27"/>
      <c r="G13" s="68"/>
      <c r="H13" s="69"/>
      <c r="I13" s="69"/>
      <c r="K13" s="16"/>
    </row>
    <row r="14" spans="1:12" x14ac:dyDescent="0.2">
      <c r="A14" s="54" t="s">
        <v>80</v>
      </c>
      <c r="B14" t="s">
        <v>46</v>
      </c>
      <c r="E14" s="89">
        <v>3165.56</v>
      </c>
      <c r="F14" s="68"/>
      <c r="G14" s="68"/>
      <c r="H14" s="69"/>
      <c r="I14" s="69"/>
      <c r="K14" s="16"/>
    </row>
    <row r="15" spans="1:12" x14ac:dyDescent="0.2">
      <c r="A15" s="54" t="s">
        <v>83</v>
      </c>
      <c r="B15" t="s">
        <v>47</v>
      </c>
      <c r="E15" s="89">
        <v>-73189.5</v>
      </c>
      <c r="F15" s="27"/>
      <c r="G15" s="68"/>
      <c r="H15" s="69"/>
      <c r="I15" s="69"/>
      <c r="K15" s="16"/>
    </row>
    <row r="16" spans="1:12" x14ac:dyDescent="0.2">
      <c r="E16" s="88"/>
      <c r="G16" s="68"/>
      <c r="H16" s="64"/>
      <c r="I16" s="64"/>
      <c r="J16" s="16"/>
    </row>
    <row r="17" spans="1:13" x14ac:dyDescent="0.2">
      <c r="A17" s="54" t="s">
        <v>84</v>
      </c>
      <c r="B17" s="32" t="s">
        <v>85</v>
      </c>
      <c r="E17" s="94">
        <v>0</v>
      </c>
      <c r="G17" s="81" t="s">
        <v>95</v>
      </c>
      <c r="H17" s="82"/>
      <c r="I17" s="68"/>
      <c r="J17" s="16"/>
    </row>
    <row r="18" spans="1:13" x14ac:dyDescent="0.2">
      <c r="E18" s="88"/>
      <c r="H18" s="16"/>
      <c r="I18" s="63"/>
      <c r="J18" s="16"/>
    </row>
    <row r="19" spans="1:13" x14ac:dyDescent="0.2">
      <c r="A19" t="s">
        <v>89</v>
      </c>
      <c r="B19" t="s">
        <v>90</v>
      </c>
      <c r="E19" s="93">
        <v>0</v>
      </c>
      <c r="H19" s="16"/>
      <c r="I19" s="16"/>
      <c r="J19" s="16"/>
    </row>
    <row r="20" spans="1:13" x14ac:dyDescent="0.2">
      <c r="A20" s="54" t="s">
        <v>76</v>
      </c>
      <c r="B20" t="s">
        <v>7</v>
      </c>
      <c r="E20" s="89">
        <v>-49810.94</v>
      </c>
      <c r="H20" s="22"/>
      <c r="I20" s="22"/>
      <c r="J20" s="22"/>
      <c r="K20" s="70"/>
      <c r="L20" s="22"/>
      <c r="M20" s="23"/>
    </row>
    <row r="21" spans="1:13" x14ac:dyDescent="0.2">
      <c r="A21" s="54" t="s">
        <v>78</v>
      </c>
      <c r="B21" t="s">
        <v>8</v>
      </c>
      <c r="E21" s="89">
        <v>-878032.07</v>
      </c>
      <c r="H21" s="22"/>
      <c r="I21" s="22"/>
      <c r="J21" s="22"/>
      <c r="K21" s="70"/>
    </row>
    <row r="22" spans="1:13" x14ac:dyDescent="0.2">
      <c r="A22" s="54" t="s">
        <v>77</v>
      </c>
      <c r="B22" s="32" t="s">
        <v>70</v>
      </c>
      <c r="E22" s="89">
        <v>-11667.74</v>
      </c>
      <c r="H22" s="22"/>
      <c r="I22" s="22"/>
      <c r="J22" s="22"/>
      <c r="K22" s="70"/>
    </row>
    <row r="23" spans="1:13" x14ac:dyDescent="0.2">
      <c r="A23" s="54" t="s">
        <v>79</v>
      </c>
      <c r="B23" t="s">
        <v>9</v>
      </c>
      <c r="E23" s="90">
        <v>-468674.58</v>
      </c>
      <c r="H23" s="22"/>
      <c r="I23" s="22"/>
      <c r="J23" s="22"/>
      <c r="K23" s="70"/>
    </row>
    <row r="24" spans="1:13" x14ac:dyDescent="0.2">
      <c r="A24" t="s">
        <v>5</v>
      </c>
      <c r="E24" s="3">
        <f>SUM(E19:E23)</f>
        <v>-1408185.33</v>
      </c>
      <c r="G24" s="3">
        <f>SUM(E24,E17,E11:E15)</f>
        <v>35481329.260000005</v>
      </c>
      <c r="H24" s="72" t="s">
        <v>87</v>
      </c>
      <c r="I24" s="72"/>
      <c r="J24" s="72"/>
      <c r="K24" s="70"/>
    </row>
    <row r="25" spans="1:13" x14ac:dyDescent="0.2">
      <c r="E25" s="3"/>
      <c r="G25" s="102">
        <v>35481329.259999998</v>
      </c>
      <c r="H25" s="72" t="s">
        <v>92</v>
      </c>
      <c r="I25" s="72"/>
      <c r="J25" s="72"/>
      <c r="K25" s="32"/>
    </row>
    <row r="26" spans="1:13" x14ac:dyDescent="0.2">
      <c r="E26" s="71"/>
      <c r="G26" s="3">
        <f>G24-G25</f>
        <v>0</v>
      </c>
      <c r="H26" s="19"/>
      <c r="I26" s="19"/>
      <c r="J26" s="19"/>
    </row>
    <row r="27" spans="1:13" x14ac:dyDescent="0.2">
      <c r="A27" s="52" t="s">
        <v>93</v>
      </c>
      <c r="B27" s="32" t="s">
        <v>94</v>
      </c>
      <c r="E27" s="89">
        <v>6359.23</v>
      </c>
      <c r="F27" s="100">
        <v>1.0549999999999999</v>
      </c>
      <c r="G27" s="73"/>
      <c r="H27" s="74"/>
      <c r="I27" s="74"/>
      <c r="J27" s="74"/>
    </row>
    <row r="28" spans="1:13" x14ac:dyDescent="0.2">
      <c r="A28" s="54" t="s">
        <v>81</v>
      </c>
      <c r="B28" t="s">
        <v>6</v>
      </c>
      <c r="E28" s="90">
        <v>-2958.9</v>
      </c>
      <c r="F28" s="95"/>
      <c r="G28" s="73"/>
      <c r="H28" s="75"/>
      <c r="I28" s="75"/>
      <c r="J28" s="75"/>
    </row>
    <row r="29" spans="1:13" x14ac:dyDescent="0.2">
      <c r="A29" t="s">
        <v>5</v>
      </c>
      <c r="E29" s="68">
        <f>SUM(E27:E28)</f>
        <v>3400.3299999999995</v>
      </c>
      <c r="F29" s="71">
        <f>ROUND((E29)*F27,0)</f>
        <v>3587</v>
      </c>
      <c r="G29" s="3"/>
      <c r="H29" s="75"/>
      <c r="I29" s="75"/>
      <c r="J29" s="75"/>
    </row>
    <row r="30" spans="1:13" x14ac:dyDescent="0.2">
      <c r="E30" s="71"/>
      <c r="H30" s="75"/>
      <c r="I30" s="75"/>
      <c r="J30" s="75"/>
    </row>
    <row r="31" spans="1:13" x14ac:dyDescent="0.2">
      <c r="H31" s="75"/>
      <c r="I31" s="75"/>
      <c r="J31" s="75"/>
    </row>
    <row r="32" spans="1:13" x14ac:dyDescent="0.2">
      <c r="A32" s="52" t="s">
        <v>82</v>
      </c>
      <c r="B32" s="27" t="s">
        <v>56</v>
      </c>
      <c r="E32" s="90">
        <v>-4180724.49</v>
      </c>
      <c r="G32" s="71"/>
      <c r="H32" s="75"/>
      <c r="I32" s="75"/>
      <c r="J32" s="75"/>
    </row>
    <row r="33" spans="1:10" x14ac:dyDescent="0.2">
      <c r="A33" t="s">
        <v>5</v>
      </c>
      <c r="E33" s="71">
        <f>SUM(E32:E32)</f>
        <v>-4180724.49</v>
      </c>
      <c r="G33" s="71"/>
      <c r="H33" s="71"/>
      <c r="I33" s="75"/>
      <c r="J33" s="75"/>
    </row>
    <row r="34" spans="1:10" x14ac:dyDescent="0.2">
      <c r="E34" s="71"/>
    </row>
    <row r="35" spans="1:10" x14ac:dyDescent="0.2">
      <c r="E35" s="71"/>
    </row>
    <row r="36" spans="1:10" x14ac:dyDescent="0.2">
      <c r="A36" s="112"/>
      <c r="B36" s="112"/>
      <c r="C36" s="112"/>
      <c r="D36" s="112"/>
      <c r="E36" s="71"/>
    </row>
    <row r="37" spans="1:10" x14ac:dyDescent="0.2">
      <c r="E37" s="1"/>
    </row>
    <row r="38" spans="1:10" x14ac:dyDescent="0.2">
      <c r="E38" s="1"/>
    </row>
    <row r="39" spans="1:10" x14ac:dyDescent="0.2">
      <c r="E39" s="1"/>
    </row>
    <row r="40" spans="1:10" x14ac:dyDescent="0.2">
      <c r="E40" s="1"/>
    </row>
    <row r="41" spans="1:10" x14ac:dyDescent="0.2">
      <c r="E41" s="1"/>
    </row>
    <row r="42" spans="1:10" x14ac:dyDescent="0.2">
      <c r="E42" s="1"/>
    </row>
    <row r="43" spans="1:10" x14ac:dyDescent="0.2">
      <c r="E43" s="1"/>
    </row>
  </sheetData>
  <mergeCells count="4">
    <mergeCell ref="A4:E4"/>
    <mergeCell ref="H5:L5"/>
    <mergeCell ref="A36:D36"/>
    <mergeCell ref="A5:E5"/>
  </mergeCells>
  <phoneticPr fontId="2" type="noConversion"/>
  <printOptions horizontalCentered="1"/>
  <pageMargins left="0.25" right="0.25" top="0.5" bottom="0.54" header="0.5" footer="0.5"/>
  <pageSetup scale="7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H47"/>
  <sheetViews>
    <sheetView zoomScaleNormal="100" zoomScaleSheetLayoutView="100" workbookViewId="0">
      <selection activeCell="E24" sqref="E24"/>
    </sheetView>
  </sheetViews>
  <sheetFormatPr defaultRowHeight="12.75" x14ac:dyDescent="0.2"/>
  <cols>
    <col min="3" max="3" width="48.5703125" customWidth="1"/>
    <col min="4" max="4" width="9.28515625" customWidth="1"/>
    <col min="5" max="5" width="8.140625" customWidth="1"/>
    <col min="6" max="6" width="11.42578125" customWidth="1"/>
  </cols>
  <sheetData>
    <row r="1" spans="1:8" x14ac:dyDescent="0.2">
      <c r="F1" s="4"/>
    </row>
    <row r="2" spans="1:8" x14ac:dyDescent="0.2">
      <c r="A2" s="116" t="s">
        <v>30</v>
      </c>
      <c r="B2" s="116"/>
      <c r="C2" s="116"/>
      <c r="D2" s="116"/>
      <c r="E2" s="116"/>
      <c r="F2" s="116"/>
    </row>
    <row r="4" spans="1:8" x14ac:dyDescent="0.2">
      <c r="A4" s="106" t="s">
        <v>12</v>
      </c>
      <c r="B4" s="106"/>
      <c r="C4" s="106"/>
      <c r="D4" s="106"/>
      <c r="E4" s="106"/>
      <c r="F4" s="106"/>
    </row>
    <row r="5" spans="1:8" x14ac:dyDescent="0.2">
      <c r="D5" s="5"/>
      <c r="E5" s="2"/>
      <c r="F5" s="5"/>
    </row>
    <row r="6" spans="1:8" ht="13.5" thickBot="1" x14ac:dyDescent="0.25">
      <c r="A6" t="s">
        <v>25</v>
      </c>
    </row>
    <row r="7" spans="1:8" ht="13.5" thickBot="1" x14ac:dyDescent="0.25">
      <c r="A7" s="106" t="s">
        <v>13</v>
      </c>
      <c r="B7" s="106"/>
      <c r="C7" s="106"/>
      <c r="D7" s="106"/>
      <c r="E7" t="s">
        <v>14</v>
      </c>
      <c r="F7" s="9" t="s">
        <v>15</v>
      </c>
    </row>
    <row r="8" spans="1:8" x14ac:dyDescent="0.2">
      <c r="B8" t="s">
        <v>26</v>
      </c>
      <c r="E8" t="s">
        <v>16</v>
      </c>
      <c r="F8" s="76">
        <f>Summary!F20</f>
        <v>0.24940000000000001</v>
      </c>
    </row>
    <row r="9" spans="1:8" x14ac:dyDescent="0.2">
      <c r="B9" t="s">
        <v>27</v>
      </c>
      <c r="E9" t="s">
        <v>16</v>
      </c>
      <c r="F9" s="77">
        <v>0.46250000000000002</v>
      </c>
      <c r="H9" s="78" t="s">
        <v>51</v>
      </c>
    </row>
    <row r="10" spans="1:8" x14ac:dyDescent="0.2">
      <c r="B10" t="s">
        <v>28</v>
      </c>
      <c r="E10" t="s">
        <v>16</v>
      </c>
      <c r="F10" s="77">
        <v>7.7999999999999996E-3</v>
      </c>
      <c r="H10" s="27" t="s">
        <v>52</v>
      </c>
    </row>
    <row r="11" spans="1:8" ht="13.5" thickBot="1" x14ac:dyDescent="0.25">
      <c r="B11" t="s">
        <v>29</v>
      </c>
      <c r="E11" t="s">
        <v>16</v>
      </c>
      <c r="F11" s="79">
        <v>-0.40379999999999999</v>
      </c>
      <c r="H11" s="27" t="s">
        <v>53</v>
      </c>
    </row>
    <row r="12" spans="1:8" x14ac:dyDescent="0.2">
      <c r="H12" s="27" t="s">
        <v>54</v>
      </c>
    </row>
    <row r="13" spans="1:8" x14ac:dyDescent="0.2">
      <c r="H13" s="27" t="s">
        <v>55</v>
      </c>
    </row>
    <row r="14" spans="1:8" ht="13.5" thickBot="1" x14ac:dyDescent="0.25">
      <c r="A14" t="s">
        <v>20</v>
      </c>
    </row>
    <row r="15" spans="1:8" ht="13.5" thickBot="1" x14ac:dyDescent="0.25">
      <c r="A15" s="106" t="s">
        <v>13</v>
      </c>
      <c r="B15" s="106"/>
      <c r="C15" s="106"/>
      <c r="D15" s="106"/>
      <c r="E15" t="s">
        <v>14</v>
      </c>
      <c r="F15" s="9" t="s">
        <v>15</v>
      </c>
    </row>
    <row r="16" spans="1:8" x14ac:dyDescent="0.2">
      <c r="B16" t="s">
        <v>21</v>
      </c>
      <c r="E16" t="s">
        <v>16</v>
      </c>
      <c r="F16" s="76">
        <f>Summary!F29</f>
        <v>0</v>
      </c>
    </row>
    <row r="17" spans="1:8" x14ac:dyDescent="0.2">
      <c r="B17" t="s">
        <v>22</v>
      </c>
      <c r="E17" t="s">
        <v>16</v>
      </c>
      <c r="F17" s="77">
        <v>1.6000000000000001E-3</v>
      </c>
      <c r="H17" s="78" t="s">
        <v>51</v>
      </c>
    </row>
    <row r="18" spans="1:8" x14ac:dyDescent="0.2">
      <c r="B18" t="s">
        <v>23</v>
      </c>
      <c r="E18" t="s">
        <v>16</v>
      </c>
      <c r="F18" s="77">
        <v>0</v>
      </c>
      <c r="H18" s="27" t="s">
        <v>52</v>
      </c>
    </row>
    <row r="19" spans="1:8" ht="13.5" thickBot="1" x14ac:dyDescent="0.25">
      <c r="B19" t="s">
        <v>24</v>
      </c>
      <c r="E19" t="s">
        <v>16</v>
      </c>
      <c r="F19" s="79">
        <v>-0.16450000000000001</v>
      </c>
      <c r="H19" s="27" t="s">
        <v>53</v>
      </c>
    </row>
    <row r="20" spans="1:8" x14ac:dyDescent="0.2">
      <c r="H20" s="27" t="s">
        <v>54</v>
      </c>
    </row>
    <row r="21" spans="1:8" x14ac:dyDescent="0.2">
      <c r="H21" s="27" t="s">
        <v>55</v>
      </c>
    </row>
    <row r="22" spans="1:8" ht="13.5" thickBot="1" x14ac:dyDescent="0.25">
      <c r="A22" t="s">
        <v>34</v>
      </c>
    </row>
    <row r="23" spans="1:8" ht="13.5" thickBot="1" x14ac:dyDescent="0.25">
      <c r="A23" s="106" t="s">
        <v>13</v>
      </c>
      <c r="B23" s="106"/>
      <c r="C23" s="106"/>
      <c r="D23" s="106"/>
      <c r="E23" t="s">
        <v>14</v>
      </c>
      <c r="F23" s="9" t="s">
        <v>15</v>
      </c>
    </row>
    <row r="24" spans="1:8" x14ac:dyDescent="0.2">
      <c r="B24" t="s">
        <v>26</v>
      </c>
      <c r="E24" t="s">
        <v>16</v>
      </c>
      <c r="F24" s="76">
        <f>Summary!F38</f>
        <v>-2.9399999999999999E-2</v>
      </c>
    </row>
    <row r="25" spans="1:8" x14ac:dyDescent="0.2">
      <c r="B25" t="s">
        <v>27</v>
      </c>
      <c r="E25" t="s">
        <v>16</v>
      </c>
      <c r="F25" s="77">
        <v>-2.6100000000000002E-2</v>
      </c>
      <c r="H25" s="78" t="s">
        <v>51</v>
      </c>
    </row>
    <row r="26" spans="1:8" x14ac:dyDescent="0.2">
      <c r="B26" t="s">
        <v>28</v>
      </c>
      <c r="E26" t="s">
        <v>16</v>
      </c>
      <c r="F26" s="77">
        <v>-1.8499999999999999E-2</v>
      </c>
      <c r="H26" s="27" t="s">
        <v>52</v>
      </c>
    </row>
    <row r="27" spans="1:8" ht="13.5" thickBot="1" x14ac:dyDescent="0.25">
      <c r="B27" t="s">
        <v>29</v>
      </c>
      <c r="E27" t="s">
        <v>16</v>
      </c>
      <c r="F27" s="79">
        <v>-1.4500000000000001E-2</v>
      </c>
      <c r="H27" s="27" t="s">
        <v>53</v>
      </c>
    </row>
    <row r="28" spans="1:8" x14ac:dyDescent="0.2">
      <c r="F28" s="80"/>
      <c r="H28" s="27" t="s">
        <v>54</v>
      </c>
    </row>
    <row r="29" spans="1:8" x14ac:dyDescent="0.2">
      <c r="H29" s="27" t="s">
        <v>55</v>
      </c>
    </row>
    <row r="32" spans="1:8" x14ac:dyDescent="0.2">
      <c r="A32" s="66"/>
      <c r="B32" s="66"/>
      <c r="F32" s="4"/>
    </row>
    <row r="33" spans="1:6" x14ac:dyDescent="0.2">
      <c r="F33" s="4"/>
    </row>
    <row r="47" spans="1:6" x14ac:dyDescent="0.2">
      <c r="A47" s="32" t="s">
        <v>98</v>
      </c>
    </row>
  </sheetData>
  <mergeCells count="5">
    <mergeCell ref="A23:D23"/>
    <mergeCell ref="A2:F2"/>
    <mergeCell ref="A4:F4"/>
    <mergeCell ref="A7:D7"/>
    <mergeCell ref="A15:D15"/>
  </mergeCells>
  <printOptions horizontalCentered="1"/>
  <pageMargins left="0.75" right="0.75" top="1" bottom="1" header="0.5" footer="0.5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AA Cal</vt:lpstr>
      <vt:lpstr>RA Cal</vt:lpstr>
      <vt:lpstr>OSSCR Calc</vt:lpstr>
      <vt:lpstr>Activity</vt:lpstr>
      <vt:lpstr>Prior Quarter Rates</vt:lpstr>
      <vt:lpstr>Activity!Print_Area</vt:lpstr>
      <vt:lpstr>'OSSCR Calc'!Print_Area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Helenthal \ Cynthia \ J</cp:lastModifiedBy>
  <cp:lastPrinted>2022-11-18T19:54:34Z</cp:lastPrinted>
  <dcterms:created xsi:type="dcterms:W3CDTF">2010-02-10T18:54:55Z</dcterms:created>
  <dcterms:modified xsi:type="dcterms:W3CDTF">2023-05-24T14:01:31Z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