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Input'!$A$6:$AB$142</definedName>
    <definedName name="ADJUSTTABLE">'[1]Instruct &amp; Input'!$J$6:$M$131</definedName>
    <definedName name="ESTIMATEINJ">'[1]Actuals Input'!#REF!</definedName>
    <definedName name="ESTIMATES">'[1]Actuals Input'!#REF!</definedName>
    <definedName name="PIPTABLE">'[1]Instruct &amp; Input'!$G$6:$H$131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Input'!$AB$5:$AH$45</definedName>
    <definedName name="sched1">'[1]Sched 1A Work'!#REF!</definedName>
    <definedName name="summary">'Summ File'!$A$1:$F$47</definedName>
    <definedName name="TABLE242">'[1]242 Input'!$A$6:$R$117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(18,819.20) for May, (278050.03) for Jun and (160113.87) for Jul.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<sst xmlns="http://schemas.openxmlformats.org/spreadsheetml/2006/main" count="998" uniqueCount="285">
  <si>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</si>
  <si>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</si>
  <si>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</si>
  <si>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</si>
  <si>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</si>
  <si>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</si>
  <si>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</si>
  <si>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</si>
  <si>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</si>
  <si>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</si>
  <si>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</si>
  <si>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</si>
  <si>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</si>
  <si>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</si>
  <si>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</si>
  <si>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</si>
  <si>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</si>
  <si>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</si>
  <si>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</si>
  <si>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</si>
  <si>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</si>
  <si>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</si>
  <si>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</si>
  <si>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</si>
  <si>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</si>
  <si>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</si>
  <si>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</si>
  <si>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</si>
  <si>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</si>
  <si>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</si>
  <si>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</si>
  <si>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</si>
  <si>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</si>
  <si>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</si>
  <si>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</si>
  <si>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</si>
  <si>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</si>
  <si>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</si>
  <si>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</si>
  <si>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</si>
  <si>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</si>
  <si>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</si>
  <si>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</si>
  <si>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</si>
  <si>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</si>
  <si>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</si>
  <si>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</si>
  <si>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</si>
  <si>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</si>
  <si>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</si>
  <si>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</si>
  <si>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</si>
  <si>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</si>
  <si>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</si>
  <si>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</si>
  <si>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</si>
  <si>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</si>
  <si>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</si>
  <si>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</si>
  <si>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</si>
  <si>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</si>
  <si>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</si>
  <si>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</si>
  <si>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</si>
  <si>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</si>
  <si>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</si>
  <si>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</si>
  <si>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</si>
  <si>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</si>
  <si>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</si>
  <si>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</si>
  <si>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</si>
  <si>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</si>
  <si>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</si>
  <si>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</si>
  <si>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</si>
  <si>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</si>
  <si>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</si>
  <si>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</si>
  <si>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</si>
  <si>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</si>
  <si>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</si>
  <si>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</si>
  <si>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</si>
  <si>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</si>
  <si>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</si>
  <si>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</si>
  <si>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</si>
  <si>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</si>
  <si>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</si>
  <si>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</si>
  <si>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</si>
  <si>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</si>
  <si>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</si>
  <si>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</si>
  <si>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</si>
  <si>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</si>
  <si>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</si>
  <si>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</si>
  <si>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</si>
  <si>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</si>
  <si>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</si>
  <si>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</si>
  <si>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</si>
  <si>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</si>
  <si>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</si>
  <si>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</si>
  <si>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</si>
  <si>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</si>
  <si>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</si>
  <si>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</si>
  <si>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</si>
  <si>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</si>
  <si>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</si>
  <si>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</si>
  <si>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</si>
  <si>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</si>
  <si>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</si>
  <si>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</si>
  <si>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</si>
  <si>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</si>
  <si>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</si>
  <si>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</si>
  <si>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</si>
  <si>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</si>
  <si>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</si>
  <si>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</si>
  <si>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</si>
  <si>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</si>
  <si>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</si>
  <si>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</si>
  <si>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</si>
  <si>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</si>
  <si>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</si>
  <si>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</si>
  <si>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</si>
  <si>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</si>
  <si>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</si>
  <si>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</si>
  <si>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</si>
  <si>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</si>
  <si>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</si>
  <si>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</si>
  <si>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</si>
  <si>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</si>
  <si>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</si>
  <si>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</si>
  <si>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</si>
  <si>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</si>
  <si>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</si>
  <si>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</si>
  <si>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</si>
  <si>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</si>
  <si>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</si>
  <si>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</si>
  <si>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</si>
  <si>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</si>
  <si>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</si>
  <si>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</si>
  <si>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</si>
  <si>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</si>
  <si>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</si>
  <si>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</si>
  <si>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</si>
  <si>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</si>
  <si>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</si>
  <si>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</si>
  <si>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</si>
  <si>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</si>
  <si>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</si>
  <si>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</si>
  <si>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</si>
  <si>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</si>
  <si>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</si>
  <si>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</si>
  <si>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</si>
  <si>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</si>
  <si>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</si>
  <si>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</si>
  <si>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</si>
  <si>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</si>
  <si>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</si>
  <si>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</si>
  <si>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</si>
  <si>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</si>
  <si>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</si>
  <si>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</si>
  <si>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</si>
  <si>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</si>
  <si>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</si>
  <si>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</si>
  <si>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</si>
  <si>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</si>
  <si>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</si>
  <si>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</si>
  <si>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</si>
  <si>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</si>
  <si>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</si>
  <si>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</si>
  <si>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</si>
  <si>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</si>
  <si>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</si>
  <si>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</si>
  <si>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</si>
  <si>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</si>
  <si>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</si>
  <si>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</si>
  <si>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</si>
  <si>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</si>
  <si>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Total Recovery Of Supply Costs</t>
  </si>
  <si>
    <t>Monthly Cost Difference</t>
  </si>
  <si>
    <t>Prior Period Billing Adjustment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</si>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</sst>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  <numFmt numFmtId="210" formatCode="&quot;$&quot;#,##0.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0" fontId="0" fillId="0" borderId="0" xfId="0" applyBorder="1" applyAlignment="1">
      <alignment horizontal="right" vertical="center"/>
    </xf>
    <xf numFmtId="169" fontId="0" fillId="0" borderId="0" xfId="15" applyNumberFormat="1" applyFont="1" applyBorder="1" applyAlignment="1">
      <alignment vertical="center"/>
    </xf>
    <xf numFmtId="187" fontId="0" fillId="0" borderId="0" xfId="15" applyNumberFormat="1" applyBorder="1" applyAlignment="1">
      <alignment vertical="center"/>
    </xf>
    <xf numFmtId="43" fontId="0" fillId="0" borderId="0" xfId="15" applyBorder="1" applyAlignment="1">
      <alignment vertical="center"/>
    </xf>
    <xf numFmtId="187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15" applyNumberFormat="1" applyFont="1" applyFill="1" applyBorder="1" applyAlignment="1">
      <alignment/>
    </xf>
    <xf numFmtId="2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9\Feb%2009\3-09%20Monthly%20GCR%20Estimated%20Basis%205%20Day%20NYMEX%202-16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-779.4800000000001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TRUNKLINE PIPELINE</v>
          </cell>
          <cell r="Y6">
            <v>-2683.9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 t="str">
            <v>March 2, 2009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V7" t="str">
            <v>PANHANDLE EASTERN PIPELINE COMPANY</v>
          </cell>
          <cell r="Y7">
            <v>-277.86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 t="str">
            <v>January 31, 2010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TRUNKLINE PIPELINE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PANHANDLE EASTERN PIPELINE COMPANY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39874</v>
          </cell>
          <cell r="E10">
            <v>39902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V10" t="str">
            <v>TENNESSEE GAS PIPELINE COMPANY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COLUMBIA GAS TRANSMISSION CORPORATION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PANHANDLE EASTERN PIPELINE COMPANY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V14" t="str">
            <v>PANHANDLE EASTERN PIPELINE COMPANY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V15" t="str">
            <v>PANHANDLE EASTERN PIPELINE COMPANY</v>
          </cell>
          <cell r="AB15">
            <v>37029</v>
          </cell>
          <cell r="AC15">
            <v>0.1221</v>
          </cell>
          <cell r="AD15">
            <v>0.8629</v>
          </cell>
          <cell r="AE15">
            <v>0</v>
          </cell>
          <cell r="AF15">
            <v>13514945</v>
          </cell>
          <cell r="AG15">
            <v>95517615</v>
          </cell>
          <cell r="AH15">
            <v>0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V16" t="str">
            <v>PANHANDLE EASTERN PIPELINE COMPANY</v>
          </cell>
          <cell r="AB16">
            <v>37119</v>
          </cell>
          <cell r="AC16">
            <v>0</v>
          </cell>
          <cell r="AD16">
            <v>-1.4316</v>
          </cell>
          <cell r="AE16">
            <v>-0.2334</v>
          </cell>
          <cell r="AF16">
            <v>0</v>
          </cell>
          <cell r="AG16">
            <v>-155251707</v>
          </cell>
          <cell r="AH16">
            <v>-1926733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V17" t="str">
            <v>PANHANDLE EASTERN PIPELINE COMPANY</v>
          </cell>
          <cell r="AB17">
            <v>37209</v>
          </cell>
          <cell r="AC17">
            <v>-0.0029</v>
          </cell>
          <cell r="AD17">
            <v>-0.3525</v>
          </cell>
          <cell r="AE17">
            <v>-0.1199</v>
          </cell>
          <cell r="AF17">
            <v>-306462</v>
          </cell>
          <cell r="AG17">
            <v>-37683524</v>
          </cell>
          <cell r="AH17">
            <v>-5509291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V18" t="str">
            <v>PANHANDLE EASTERN PIPELINE COMPANY</v>
          </cell>
          <cell r="AB18">
            <v>37299</v>
          </cell>
          <cell r="AC18">
            <v>0</v>
          </cell>
          <cell r="AD18">
            <v>0.6456</v>
          </cell>
          <cell r="AE18">
            <v>0.0644</v>
          </cell>
          <cell r="AF18">
            <v>0</v>
          </cell>
          <cell r="AG18">
            <v>68385012</v>
          </cell>
          <cell r="AH18">
            <v>2807549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V19" t="str">
            <v>PANHANDLE EASTERN PIPELINE COMPANY</v>
          </cell>
          <cell r="AB19">
            <v>37389</v>
          </cell>
          <cell r="AC19">
            <v>0</v>
          </cell>
          <cell r="AD19">
            <v>0.5245</v>
          </cell>
          <cell r="AE19">
            <v>0.0732</v>
          </cell>
          <cell r="AF19">
            <v>0</v>
          </cell>
          <cell r="AG19">
            <v>49006257</v>
          </cell>
          <cell r="AH19">
            <v>667716</v>
          </cell>
        </row>
        <row r="20">
          <cell r="C20">
            <v>39416</v>
          </cell>
          <cell r="E20">
            <v>39746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V20" t="str">
            <v>COLUMBIA GULF TRANSMISSION COMPANY</v>
          </cell>
          <cell r="AB20">
            <v>37479</v>
          </cell>
          <cell r="AC20">
            <v>0.2443</v>
          </cell>
          <cell r="AD20">
            <v>-0.454</v>
          </cell>
          <cell r="AE20">
            <v>0</v>
          </cell>
          <cell r="AF20">
            <v>21922788</v>
          </cell>
          <cell r="AG20">
            <v>-40748157</v>
          </cell>
          <cell r="AH20">
            <v>0</v>
          </cell>
        </row>
        <row r="21">
          <cell r="E21">
            <v>39746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V21" t="str">
            <v>COLUMBIA GAS TRANSMISSION CORPORATION</v>
          </cell>
          <cell r="AB21">
            <v>37569</v>
          </cell>
          <cell r="AC21">
            <v>-0.0007</v>
          </cell>
          <cell r="AD21">
            <v>0.3327</v>
          </cell>
          <cell r="AE21">
            <v>-0.7095</v>
          </cell>
          <cell r="AF21">
            <v>-63336</v>
          </cell>
          <cell r="AG21">
            <v>30604138</v>
          </cell>
          <cell r="AH21">
            <v>-23747097</v>
          </cell>
        </row>
        <row r="22">
          <cell r="C22">
            <v>39686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V22" t="str">
            <v>COLUMBIA GAS TRANSMISSION CORPORATION</v>
          </cell>
          <cell r="AB22">
            <v>37659</v>
          </cell>
          <cell r="AC22">
            <v>-0.0409</v>
          </cell>
          <cell r="AD22">
            <v>0.4177</v>
          </cell>
          <cell r="AE22">
            <v>-0.1404</v>
          </cell>
          <cell r="AF22">
            <v>-3727781</v>
          </cell>
          <cell r="AG22">
            <v>38075617</v>
          </cell>
          <cell r="AH22">
            <v>-5598539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V23" t="str">
            <v>COLUMBIA GAS TRANSMISSION CORPORATION</v>
          </cell>
          <cell r="AB23">
            <v>37749</v>
          </cell>
          <cell r="AC23">
            <v>-0.0024</v>
          </cell>
          <cell r="AD23">
            <v>0.4887</v>
          </cell>
          <cell r="AE23">
            <v>0.8922</v>
          </cell>
          <cell r="AF23">
            <v>-238864</v>
          </cell>
          <cell r="AG23">
            <v>49087527</v>
          </cell>
          <cell r="AH23">
            <v>10133076</v>
          </cell>
        </row>
        <row r="24">
          <cell r="C24">
            <v>39860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37839</v>
          </cell>
          <cell r="AC24">
            <v>-0.0146</v>
          </cell>
          <cell r="AD24">
            <v>-0.5758</v>
          </cell>
          <cell r="AE24">
            <v>-0.9805</v>
          </cell>
          <cell r="AF24">
            <v>-1565111</v>
          </cell>
          <cell r="AG24">
            <v>-61791287</v>
          </cell>
          <cell r="AH24">
            <v>-6316408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37929</v>
          </cell>
          <cell r="AC25">
            <v>0</v>
          </cell>
          <cell r="AD25">
            <v>-0.1409</v>
          </cell>
          <cell r="AE25">
            <v>0.1111</v>
          </cell>
          <cell r="AF25">
            <v>-1707</v>
          </cell>
          <cell r="AG25">
            <v>-14899115</v>
          </cell>
          <cell r="AH25">
            <v>4748055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38019</v>
          </cell>
          <cell r="AC26">
            <v>-0.002</v>
          </cell>
          <cell r="AD26">
            <v>0.5191</v>
          </cell>
          <cell r="AE26">
            <v>-0.0801</v>
          </cell>
          <cell r="AF26">
            <v>-212847</v>
          </cell>
          <cell r="AG26">
            <v>55512913</v>
          </cell>
          <cell r="AH26">
            <v>-3747807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38109</v>
          </cell>
          <cell r="AC27">
            <v>-0.0013</v>
          </cell>
          <cell r="AD27">
            <v>0.7576</v>
          </cell>
          <cell r="AE27">
            <v>-0.3107</v>
          </cell>
          <cell r="AF27">
            <v>-134555</v>
          </cell>
          <cell r="AG27">
            <v>81415576</v>
          </cell>
          <cell r="AH27">
            <v>-3247973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38200</v>
          </cell>
          <cell r="AC28">
            <v>-0.004</v>
          </cell>
          <cell r="AD28">
            <v>-0.6412</v>
          </cell>
          <cell r="AE28">
            <v>0.0597</v>
          </cell>
          <cell r="AF28">
            <v>-422112</v>
          </cell>
          <cell r="AG28">
            <v>-67093536</v>
          </cell>
          <cell r="AH28">
            <v>484117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38292</v>
          </cell>
          <cell r="AC29">
            <v>-0.0003</v>
          </cell>
          <cell r="AD29">
            <v>0.2551</v>
          </cell>
          <cell r="AE29">
            <v>0</v>
          </cell>
          <cell r="AF29">
            <v>-33747</v>
          </cell>
          <cell r="AG29">
            <v>24758388</v>
          </cell>
          <cell r="AH29">
            <v>0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38384</v>
          </cell>
          <cell r="AC30">
            <v>-0.0004</v>
          </cell>
          <cell r="AD30">
            <v>0.3116</v>
          </cell>
          <cell r="AE30">
            <v>0</v>
          </cell>
          <cell r="AF30">
            <v>-45089</v>
          </cell>
          <cell r="AG30">
            <v>31931474</v>
          </cell>
          <cell r="AH30">
            <v>0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38476</v>
          </cell>
          <cell r="AC31">
            <v>-0.0123</v>
          </cell>
          <cell r="AD31">
            <v>0.8729</v>
          </cell>
          <cell r="AE31">
            <v>0</v>
          </cell>
          <cell r="AF31">
            <v>-1264733</v>
          </cell>
          <cell r="AG31">
            <v>89852652</v>
          </cell>
          <cell r="AH31">
            <v>0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5.89</v>
          </cell>
          <cell r="AB32">
            <v>38568</v>
          </cell>
          <cell r="AC32">
            <v>-0.0147</v>
          </cell>
          <cell r="AD32">
            <v>-0.323</v>
          </cell>
          <cell r="AE32">
            <v>0</v>
          </cell>
          <cell r="AF32">
            <v>-1525842</v>
          </cell>
          <cell r="AG32">
            <v>-33428861</v>
          </cell>
          <cell r="AH32">
            <v>0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Y33">
            <v>5.9</v>
          </cell>
          <cell r="AB33">
            <v>38660</v>
          </cell>
          <cell r="AC33">
            <v>0</v>
          </cell>
          <cell r="AD33">
            <v>-0.216</v>
          </cell>
          <cell r="AE33">
            <v>0</v>
          </cell>
          <cell r="AF33">
            <v>-1609</v>
          </cell>
          <cell r="AG33">
            <v>-21339689</v>
          </cell>
          <cell r="AH33">
            <v>0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7.24</v>
          </cell>
          <cell r="Z34" t="str">
            <v>Y</v>
          </cell>
          <cell r="AB34">
            <v>38752</v>
          </cell>
          <cell r="AC34">
            <v>0.0018</v>
          </cell>
          <cell r="AD34">
            <v>1.1954</v>
          </cell>
          <cell r="AE34">
            <v>0</v>
          </cell>
          <cell r="AF34">
            <v>178260</v>
          </cell>
          <cell r="AG34">
            <v>118914978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38844</v>
          </cell>
          <cell r="AC35">
            <v>-0.0048</v>
          </cell>
          <cell r="AD35">
            <v>0.5929</v>
          </cell>
          <cell r="AE35">
            <v>0</v>
          </cell>
          <cell r="AF35">
            <v>-437831</v>
          </cell>
          <cell r="AG35">
            <v>54571027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38936</v>
          </cell>
          <cell r="AC36">
            <v>-0.0048</v>
          </cell>
          <cell r="AD36">
            <v>-0.7782</v>
          </cell>
          <cell r="AE36">
            <v>0</v>
          </cell>
          <cell r="AF36">
            <v>-442739</v>
          </cell>
          <cell r="AG36">
            <v>-71737323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39028</v>
          </cell>
          <cell r="AC37">
            <v>0</v>
          </cell>
          <cell r="AD37">
            <v>-0.6903</v>
          </cell>
          <cell r="AE37">
            <v>0</v>
          </cell>
          <cell r="AF37">
            <v>0</v>
          </cell>
          <cell r="AG37">
            <v>-53523654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39120</v>
          </cell>
          <cell r="AC38">
            <v>0</v>
          </cell>
          <cell r="AD38">
            <v>0.4663</v>
          </cell>
          <cell r="AE38">
            <v>0</v>
          </cell>
          <cell r="AF38">
            <v>0</v>
          </cell>
          <cell r="AG38">
            <v>35594553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39212</v>
          </cell>
          <cell r="AC39">
            <v>0</v>
          </cell>
          <cell r="AD39">
            <v>1.338</v>
          </cell>
          <cell r="AE39">
            <v>0</v>
          </cell>
          <cell r="AF39">
            <v>0</v>
          </cell>
          <cell r="AG39">
            <v>96981561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39304</v>
          </cell>
          <cell r="AC40">
            <v>-0.0061</v>
          </cell>
          <cell r="AD40">
            <v>-0.2151</v>
          </cell>
          <cell r="AE40">
            <v>0</v>
          </cell>
          <cell r="AF40">
            <v>-444166</v>
          </cell>
          <cell r="AG40">
            <v>-15564996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39396</v>
          </cell>
          <cell r="AC41">
            <v>0</v>
          </cell>
          <cell r="AD41">
            <v>-0.9029</v>
          </cell>
          <cell r="AE41">
            <v>0</v>
          </cell>
          <cell r="AF41">
            <v>-1115</v>
          </cell>
          <cell r="AG41">
            <v>-68154398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39488</v>
          </cell>
          <cell r="AC42">
            <v>0</v>
          </cell>
          <cell r="AD42">
            <v>-0.2216</v>
          </cell>
          <cell r="AE42">
            <v>0</v>
          </cell>
          <cell r="AF42">
            <v>-2134</v>
          </cell>
          <cell r="AG42">
            <v>-16750281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39580</v>
          </cell>
          <cell r="AC43">
            <v>-0.0041</v>
          </cell>
          <cell r="AD43">
            <v>1.1752</v>
          </cell>
          <cell r="AE43">
            <v>0</v>
          </cell>
          <cell r="AF43">
            <v>-322633</v>
          </cell>
          <cell r="AG43">
            <v>92485895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39672</v>
          </cell>
          <cell r="AC44">
            <v>-0.0015</v>
          </cell>
          <cell r="AD44">
            <v>-0.6959</v>
          </cell>
          <cell r="AE44">
            <v>0</v>
          </cell>
          <cell r="AF44">
            <v>-112451</v>
          </cell>
          <cell r="AG44">
            <v>-51224976</v>
          </cell>
          <cell r="AH44">
            <v>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39764</v>
          </cell>
          <cell r="AC45">
            <v>0</v>
          </cell>
          <cell r="AD45">
            <v>0.898</v>
          </cell>
          <cell r="AF45">
            <v>-1756</v>
          </cell>
          <cell r="AG45">
            <v>66814250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39874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1592882.4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  <row r="120">
          <cell r="G120">
            <v>39502</v>
          </cell>
          <cell r="H120">
            <v>1824780</v>
          </cell>
          <cell r="J120">
            <v>39502</v>
          </cell>
          <cell r="K120">
            <v>12978723</v>
          </cell>
          <cell r="L120">
            <v>11935701</v>
          </cell>
          <cell r="M120">
            <v>0</v>
          </cell>
        </row>
        <row r="121">
          <cell r="G121">
            <v>39533</v>
          </cell>
          <cell r="H121">
            <v>1839380</v>
          </cell>
          <cell r="J121">
            <v>39533</v>
          </cell>
          <cell r="K121">
            <v>12690788</v>
          </cell>
          <cell r="L121">
            <v>11537257</v>
          </cell>
          <cell r="M121">
            <v>0</v>
          </cell>
        </row>
        <row r="122">
          <cell r="G122">
            <v>39564</v>
          </cell>
          <cell r="H122">
            <v>1221895.1</v>
          </cell>
          <cell r="J122">
            <v>39564</v>
          </cell>
          <cell r="K122">
            <v>7905968.9</v>
          </cell>
          <cell r="L122">
            <v>7355863</v>
          </cell>
          <cell r="M122">
            <v>0</v>
          </cell>
        </row>
        <row r="123">
          <cell r="G123">
            <v>39595</v>
          </cell>
          <cell r="H123">
            <v>523829.5</v>
          </cell>
          <cell r="J123">
            <v>39595</v>
          </cell>
          <cell r="K123">
            <v>3146258.5</v>
          </cell>
          <cell r="L123">
            <v>2988269</v>
          </cell>
          <cell r="M123">
            <v>0</v>
          </cell>
        </row>
        <row r="124">
          <cell r="G124">
            <v>39626</v>
          </cell>
          <cell r="H124">
            <v>338229.3</v>
          </cell>
          <cell r="J124">
            <v>39626</v>
          </cell>
          <cell r="K124">
            <v>2055549.7</v>
          </cell>
          <cell r="L124">
            <v>1971709</v>
          </cell>
          <cell r="M124">
            <v>0</v>
          </cell>
        </row>
        <row r="125">
          <cell r="G125">
            <v>39657</v>
          </cell>
          <cell r="H125">
            <v>191957.4</v>
          </cell>
          <cell r="J125">
            <v>39657</v>
          </cell>
          <cell r="K125">
            <v>1307746.6</v>
          </cell>
          <cell r="L125">
            <v>1236599</v>
          </cell>
          <cell r="M125">
            <v>0</v>
          </cell>
        </row>
        <row r="126">
          <cell r="G126">
            <v>39688</v>
          </cell>
          <cell r="H126">
            <v>161571.5</v>
          </cell>
          <cell r="J126">
            <v>39688</v>
          </cell>
          <cell r="K126">
            <v>1255253.5</v>
          </cell>
          <cell r="L126">
            <v>1202645</v>
          </cell>
        </row>
        <row r="127">
          <cell r="G127">
            <v>39719</v>
          </cell>
          <cell r="H127">
            <v>146288</v>
          </cell>
          <cell r="J127">
            <v>39719</v>
          </cell>
          <cell r="K127">
            <v>1319594</v>
          </cell>
          <cell r="L127">
            <v>1253276</v>
          </cell>
        </row>
        <row r="128">
          <cell r="G128">
            <v>39750</v>
          </cell>
          <cell r="H128">
            <v>236677.4</v>
          </cell>
          <cell r="J128">
            <v>39750</v>
          </cell>
          <cell r="K128">
            <v>1911247.6</v>
          </cell>
          <cell r="L128">
            <v>1850805</v>
          </cell>
        </row>
      </sheetData>
      <sheetData sheetId="2">
        <row r="9">
          <cell r="D9">
            <v>-0.0601</v>
          </cell>
        </row>
        <row r="30">
          <cell r="F30">
            <v>0</v>
          </cell>
        </row>
        <row r="31">
          <cell r="F31">
            <v>-0.0015</v>
          </cell>
        </row>
        <row r="32">
          <cell r="F32">
            <v>-0.0041</v>
          </cell>
        </row>
        <row r="38">
          <cell r="F38">
            <v>0.898</v>
          </cell>
        </row>
        <row r="39">
          <cell r="F39">
            <v>-0.6959</v>
          </cell>
        </row>
        <row r="40">
          <cell r="F40">
            <v>1.1752</v>
          </cell>
        </row>
      </sheetData>
      <sheetData sheetId="6">
        <row r="39">
          <cell r="I39">
            <v>245383290</v>
          </cell>
        </row>
        <row r="44">
          <cell r="I44">
            <v>1251387</v>
          </cell>
        </row>
      </sheetData>
      <sheetData sheetId="13">
        <row r="43">
          <cell r="C43">
            <v>0</v>
          </cell>
        </row>
        <row r="45">
          <cell r="C45">
            <v>4855000</v>
          </cell>
        </row>
        <row r="46">
          <cell r="C46">
            <v>42128000</v>
          </cell>
        </row>
      </sheetData>
      <sheetData sheetId="14">
        <row r="24">
          <cell r="B24">
            <v>1255253.5</v>
          </cell>
          <cell r="D24">
            <v>161571.5</v>
          </cell>
        </row>
        <row r="25">
          <cell r="B25">
            <v>1319594</v>
          </cell>
          <cell r="D25">
            <v>146288</v>
          </cell>
        </row>
        <row r="26">
          <cell r="B26">
            <v>1911247.6</v>
          </cell>
          <cell r="D26">
            <v>236677.4</v>
          </cell>
        </row>
        <row r="51">
          <cell r="B51">
            <v>74372000</v>
          </cell>
          <cell r="D51">
            <v>10895000</v>
          </cell>
        </row>
        <row r="63">
          <cell r="E63">
            <v>0.65</v>
          </cell>
        </row>
      </sheetData>
      <sheetData sheetId="16">
        <row r="20">
          <cell r="B20">
            <v>41661000</v>
          </cell>
          <cell r="D20">
            <v>0</v>
          </cell>
          <cell r="F20">
            <v>975000</v>
          </cell>
        </row>
        <row r="21">
          <cell r="I21">
            <v>40129000</v>
          </cell>
          <cell r="J21">
            <v>41661000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948000</v>
          </cell>
          <cell r="J38">
            <v>975000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5.442</v>
          </cell>
        </row>
        <row r="29">
          <cell r="A29" t="str">
            <v>TCRA Current Rate</v>
          </cell>
          <cell r="B29">
            <v>0.323</v>
          </cell>
        </row>
        <row r="30">
          <cell r="A30" t="str">
            <v>TCRA Surcharge</v>
          </cell>
          <cell r="B30">
            <v>-0.015</v>
          </cell>
        </row>
        <row r="31">
          <cell r="A31" t="str">
            <v>EPCA Current Rate</v>
          </cell>
          <cell r="B31">
            <v>0.027</v>
          </cell>
        </row>
        <row r="32">
          <cell r="A32" t="str">
            <v>EPCA Surcharge</v>
          </cell>
          <cell r="B32">
            <v>-0.002</v>
          </cell>
        </row>
        <row r="37">
          <cell r="A37" t="str">
            <v>TOTAL</v>
          </cell>
          <cell r="B37">
            <v>5.775000000000001</v>
          </cell>
        </row>
        <row r="104">
          <cell r="A104" t="str">
            <v>Reservation Charge</v>
          </cell>
          <cell r="B104">
            <v>5.612</v>
          </cell>
        </row>
        <row r="105">
          <cell r="A105" t="str">
            <v>TCRA Current Rate</v>
          </cell>
          <cell r="B105">
            <v>0.323</v>
          </cell>
        </row>
        <row r="106">
          <cell r="A106" t="str">
            <v>TCRA Surcharge</v>
          </cell>
          <cell r="B106">
            <v>-0.015</v>
          </cell>
        </row>
        <row r="107">
          <cell r="A107" t="str">
            <v>EPCA Current Rate</v>
          </cell>
          <cell r="B107">
            <v>0.027</v>
          </cell>
        </row>
        <row r="108">
          <cell r="A108" t="str">
            <v>EPCA Surcharge</v>
          </cell>
          <cell r="B108">
            <v>-0.002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5.945000000000001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5.775000000000001</v>
          </cell>
          <cell r="V2864">
            <v>8670612</v>
          </cell>
          <cell r="W2864">
            <v>50072784</v>
          </cell>
          <cell r="Z2864">
            <v>39845</v>
          </cell>
          <cell r="AA2864" t="str">
            <v>25, 26 &amp; 29</v>
          </cell>
          <cell r="AB2864" t="str">
            <v>Y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5.775000000000001</v>
          </cell>
          <cell r="V2865">
            <v>4335306</v>
          </cell>
          <cell r="W2865">
            <v>25036392</v>
          </cell>
          <cell r="AB2865" t="str">
            <v>Y</v>
          </cell>
        </row>
        <row r="2866">
          <cell r="S2866" t="str">
            <v>FTS</v>
          </cell>
          <cell r="T2866" t="str">
            <v>Reservation Charge</v>
          </cell>
          <cell r="U2866">
            <v>5.945000000000001</v>
          </cell>
          <cell r="V2866">
            <v>4561800</v>
          </cell>
          <cell r="W2866">
            <v>27119901</v>
          </cell>
          <cell r="AB2866" t="str">
            <v>Y</v>
          </cell>
        </row>
        <row r="2867">
          <cell r="S2867" t="str">
            <v>FSS RES</v>
          </cell>
          <cell r="T2867" t="str">
            <v>Reservation Charge</v>
          </cell>
          <cell r="U2867">
            <v>1.505</v>
          </cell>
          <cell r="V2867">
            <v>17341224</v>
          </cell>
          <cell r="W2867">
            <v>26098542</v>
          </cell>
          <cell r="AB2867" t="str">
            <v>Y</v>
          </cell>
        </row>
        <row r="2868">
          <cell r="S2868" t="str">
            <v>FSS CAP</v>
          </cell>
          <cell r="T2868" t="str">
            <v>Capacity Charge</v>
          </cell>
          <cell r="U2868">
            <v>0.0289</v>
          </cell>
          <cell r="V2868">
            <v>965302956</v>
          </cell>
          <cell r="W2868">
            <v>27897255</v>
          </cell>
          <cell r="AB2868" t="str">
            <v>Y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4402788</v>
          </cell>
          <cell r="W2873">
            <v>13846768</v>
          </cell>
          <cell r="Z2873">
            <v>39722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39753</v>
          </cell>
          <cell r="AA2882" t="str">
            <v>5, 9, 14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0</v>
          </cell>
          <cell r="V2889">
            <v>0</v>
          </cell>
          <cell r="W2889">
            <v>0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371328</v>
          </cell>
          <cell r="W2892">
            <v>1234220</v>
          </cell>
          <cell r="Z2892">
            <v>39722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12.684</v>
          </cell>
          <cell r="V2901">
            <v>140000</v>
          </cell>
          <cell r="W2901">
            <v>1775760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366684</v>
          </cell>
          <cell r="W2902">
            <v>3301256</v>
          </cell>
          <cell r="Y2902" t="str">
            <v>Y</v>
          </cell>
        </row>
        <row r="2903"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5.7798</v>
          </cell>
          <cell r="V2910">
            <v>480000</v>
          </cell>
          <cell r="W2910">
            <v>2774304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0</v>
          </cell>
          <cell r="V2911">
            <v>0</v>
          </cell>
          <cell r="W2911">
            <v>0</v>
          </cell>
          <cell r="Y2911" t="str">
            <v>y</v>
          </cell>
        </row>
        <row r="2912">
          <cell r="S2912" t="str">
            <v>FT-A</v>
          </cell>
          <cell r="T2912" t="str">
            <v>Reservation Charge-Dungannon</v>
          </cell>
          <cell r="U2912">
            <v>8.761</v>
          </cell>
          <cell r="V2912">
            <v>360000</v>
          </cell>
          <cell r="W2912">
            <v>3153960</v>
          </cell>
          <cell r="Y2912" t="str">
            <v>y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 t="str">
            <v>Chillicothe Demand Costs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 t="str">
            <v>St. Clairsville Demand Costs</v>
          </cell>
          <cell r="U2936">
            <v>0</v>
          </cell>
          <cell r="V2936">
            <v>0</v>
          </cell>
          <cell r="W2936">
            <v>0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1862335</v>
          </cell>
          <cell r="Z2937" t="str">
            <v>Per Contract</v>
          </cell>
          <cell r="AA2937" t="str">
            <v>N/A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16063749</v>
          </cell>
          <cell r="Y2939" t="str">
            <v>N/A</v>
          </cell>
          <cell r="Z2939" t="str">
            <v>Per Contract</v>
          </cell>
        </row>
      </sheetData>
      <sheetData sheetId="28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A132">
            <v>39507</v>
          </cell>
          <cell r="B132">
            <v>171483951.96</v>
          </cell>
          <cell r="C132">
            <v>15226412</v>
          </cell>
          <cell r="D132">
            <v>12883962</v>
          </cell>
          <cell r="E132">
            <v>13399320</v>
          </cell>
          <cell r="H132">
            <v>653259</v>
          </cell>
          <cell r="I132">
            <v>653259</v>
          </cell>
          <cell r="X132">
            <v>701089</v>
          </cell>
          <cell r="Y132">
            <v>670682</v>
          </cell>
          <cell r="Z132">
            <v>694558</v>
          </cell>
          <cell r="AA132">
            <v>988102</v>
          </cell>
          <cell r="AB132">
            <v>1022735</v>
          </cell>
        </row>
        <row r="133">
          <cell r="A133">
            <v>39538</v>
          </cell>
          <cell r="B133">
            <v>166447555.55</v>
          </cell>
          <cell r="C133">
            <v>12057444</v>
          </cell>
          <cell r="D133">
            <v>6955669</v>
          </cell>
          <cell r="E133">
            <v>7233896</v>
          </cell>
          <cell r="H133">
            <v>75871</v>
          </cell>
          <cell r="I133">
            <v>75871</v>
          </cell>
          <cell r="X133">
            <v>571090</v>
          </cell>
          <cell r="Y133">
            <v>548442</v>
          </cell>
          <cell r="Z133">
            <v>566649</v>
          </cell>
          <cell r="AA133">
            <v>4454814</v>
          </cell>
          <cell r="AB133">
            <v>4560309</v>
          </cell>
        </row>
        <row r="134">
          <cell r="A134">
            <v>39568</v>
          </cell>
          <cell r="B134">
            <v>46734952.07</v>
          </cell>
          <cell r="C134">
            <v>3392886</v>
          </cell>
          <cell r="D134">
            <v>438819</v>
          </cell>
          <cell r="E134">
            <v>456371</v>
          </cell>
          <cell r="H134">
            <v>394</v>
          </cell>
          <cell r="I134">
            <v>394</v>
          </cell>
          <cell r="X134">
            <v>376281</v>
          </cell>
          <cell r="Y134">
            <v>350479</v>
          </cell>
          <cell r="Z134">
            <v>362150</v>
          </cell>
          <cell r="AA134">
            <v>2577392</v>
          </cell>
          <cell r="AB134">
            <v>2630678</v>
          </cell>
        </row>
        <row r="135">
          <cell r="A135">
            <v>39598</v>
          </cell>
          <cell r="B135">
            <v>73116231.7</v>
          </cell>
          <cell r="C135">
            <v>1711329</v>
          </cell>
          <cell r="D135">
            <v>35917</v>
          </cell>
          <cell r="E135">
            <v>37354</v>
          </cell>
          <cell r="H135">
            <v>0</v>
          </cell>
          <cell r="I135">
            <v>0</v>
          </cell>
          <cell r="X135">
            <v>335567</v>
          </cell>
          <cell r="Y135">
            <v>304078</v>
          </cell>
          <cell r="Z135">
            <v>314630</v>
          </cell>
          <cell r="AA135">
            <v>1339845</v>
          </cell>
          <cell r="AB135">
            <v>1397560</v>
          </cell>
        </row>
        <row r="136">
          <cell r="A136">
            <v>39628</v>
          </cell>
          <cell r="B136">
            <v>51009539.12</v>
          </cell>
          <cell r="C136">
            <v>1597198</v>
          </cell>
          <cell r="D136">
            <v>-62997</v>
          </cell>
          <cell r="E136">
            <v>-65517</v>
          </cell>
          <cell r="H136">
            <v>0</v>
          </cell>
          <cell r="I136">
            <v>0</v>
          </cell>
          <cell r="X136">
            <v>263923</v>
          </cell>
          <cell r="Y136">
            <v>229285</v>
          </cell>
          <cell r="Z136">
            <v>237425</v>
          </cell>
          <cell r="AA136">
            <v>1396272</v>
          </cell>
          <cell r="AB136">
            <v>1419581</v>
          </cell>
        </row>
        <row r="137">
          <cell r="A137">
            <v>39658</v>
          </cell>
          <cell r="B137">
            <v>42936555.84</v>
          </cell>
          <cell r="C137">
            <v>1342027</v>
          </cell>
          <cell r="D137">
            <v>269743</v>
          </cell>
          <cell r="E137">
            <v>280533</v>
          </cell>
          <cell r="H137">
            <v>0</v>
          </cell>
          <cell r="I137">
            <v>0</v>
          </cell>
          <cell r="X137">
            <v>255967</v>
          </cell>
          <cell r="Y137">
            <v>226298</v>
          </cell>
          <cell r="Z137">
            <v>235418</v>
          </cell>
          <cell r="AA137">
            <v>816317</v>
          </cell>
          <cell r="AB137">
            <v>857963</v>
          </cell>
        </row>
        <row r="138">
          <cell r="A138">
            <v>39688</v>
          </cell>
          <cell r="B138">
            <v>-2703854.96</v>
          </cell>
          <cell r="C138">
            <v>73203</v>
          </cell>
          <cell r="D138">
            <v>3649</v>
          </cell>
          <cell r="E138">
            <v>3795</v>
          </cell>
          <cell r="H138">
            <v>0</v>
          </cell>
          <cell r="I138">
            <v>0</v>
          </cell>
          <cell r="X138">
            <v>255259</v>
          </cell>
          <cell r="Y138">
            <v>226586</v>
          </cell>
          <cell r="Z138">
            <v>235514</v>
          </cell>
          <cell r="AA138">
            <v>-185705</v>
          </cell>
          <cell r="AB138">
            <v>-191973</v>
          </cell>
        </row>
        <row r="139">
          <cell r="A139">
            <v>39718</v>
          </cell>
          <cell r="B139">
            <v>5108496.68</v>
          </cell>
          <cell r="C139">
            <v>296891</v>
          </cell>
          <cell r="D139">
            <v>-252009</v>
          </cell>
          <cell r="E139">
            <v>-262089</v>
          </cell>
          <cell r="H139">
            <v>0</v>
          </cell>
          <cell r="I139">
            <v>0</v>
          </cell>
          <cell r="X139">
            <v>267290</v>
          </cell>
          <cell r="Y139">
            <v>236405</v>
          </cell>
          <cell r="Z139">
            <v>244916</v>
          </cell>
          <cell r="AA139">
            <v>281610</v>
          </cell>
          <cell r="AB139">
            <v>278945</v>
          </cell>
        </row>
        <row r="140">
          <cell r="A140">
            <v>39748</v>
          </cell>
          <cell r="B140">
            <v>42591414.73</v>
          </cell>
          <cell r="C140">
            <v>4832639</v>
          </cell>
          <cell r="D140">
            <v>1666852</v>
          </cell>
          <cell r="E140">
            <v>1733526</v>
          </cell>
          <cell r="H140">
            <v>0</v>
          </cell>
          <cell r="I140">
            <v>0</v>
          </cell>
          <cell r="X140">
            <v>335661</v>
          </cell>
          <cell r="Y140">
            <v>308415</v>
          </cell>
          <cell r="Z140">
            <v>319518</v>
          </cell>
          <cell r="AA140">
            <v>2830126</v>
          </cell>
          <cell r="AB140">
            <v>2924099</v>
          </cell>
        </row>
        <row r="141">
          <cell r="D141" t="str">
            <v>ACTUAL INJECTION VOLUMES</v>
          </cell>
          <cell r="J141" t="str">
            <v>ACTUAL INJECTION VOLUMES</v>
          </cell>
          <cell r="P141" t="str">
            <v>ACTUAL INJECTION VOLUMES</v>
          </cell>
          <cell r="V141" t="str">
            <v>ACTUAL INJECTION VOLUMES</v>
          </cell>
        </row>
        <row r="142">
          <cell r="D142" t="str">
            <v>TCO</v>
          </cell>
          <cell r="F142" t="str">
            <v>CGT</v>
          </cell>
          <cell r="H142" t="str">
            <v>PEPL</v>
          </cell>
          <cell r="J142" t="str">
            <v>ANR</v>
          </cell>
          <cell r="L142" t="str">
            <v>CNG</v>
          </cell>
          <cell r="N142" t="str">
            <v>TENN</v>
          </cell>
          <cell r="P142" t="str">
            <v>TETCO</v>
          </cell>
          <cell r="R142" t="str">
            <v>CARNEGIE</v>
          </cell>
          <cell r="T142" t="str">
            <v>FIRM</v>
          </cell>
          <cell r="V142" t="str">
            <v>COVE (CVP)</v>
          </cell>
          <cell r="X142" t="str">
            <v>LOCAL</v>
          </cell>
          <cell r="AA142" t="str">
            <v>NON-LOCAL</v>
          </cell>
        </row>
      </sheetData>
      <sheetData sheetId="29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  <row r="107">
          <cell r="A107">
            <v>39502</v>
          </cell>
          <cell r="J107">
            <v>-135123.39</v>
          </cell>
          <cell r="L107">
            <v>-3990.96</v>
          </cell>
          <cell r="M107">
            <v>-12003.27</v>
          </cell>
          <cell r="P107">
            <v>-240642.91</v>
          </cell>
          <cell r="R107">
            <v>92664</v>
          </cell>
        </row>
        <row r="108">
          <cell r="A108">
            <v>39533</v>
          </cell>
          <cell r="J108">
            <v>-147736.35</v>
          </cell>
          <cell r="L108">
            <v>-41314.49</v>
          </cell>
          <cell r="M108">
            <v>-12025.72</v>
          </cell>
          <cell r="P108">
            <v>-252697.82</v>
          </cell>
          <cell r="R108">
            <v>94646</v>
          </cell>
        </row>
        <row r="109">
          <cell r="A109">
            <v>39564</v>
          </cell>
          <cell r="J109">
            <v>-139624.46</v>
          </cell>
          <cell r="L109">
            <v>-11082.09</v>
          </cell>
          <cell r="M109">
            <v>-11162.22</v>
          </cell>
          <cell r="P109">
            <v>-238909.33</v>
          </cell>
          <cell r="R109">
            <v>88295</v>
          </cell>
        </row>
        <row r="110">
          <cell r="A110">
            <v>39595</v>
          </cell>
          <cell r="J110">
            <v>-96675.82</v>
          </cell>
          <cell r="L110">
            <v>-35639.61</v>
          </cell>
          <cell r="M110">
            <v>-6782.24</v>
          </cell>
          <cell r="P110">
            <v>-168248.26</v>
          </cell>
          <cell r="R110">
            <v>69816</v>
          </cell>
        </row>
        <row r="111">
          <cell r="A111">
            <v>39626</v>
          </cell>
          <cell r="J111">
            <v>-42979.29</v>
          </cell>
          <cell r="L111">
            <v>21854.92</v>
          </cell>
          <cell r="M111">
            <v>-9684.24</v>
          </cell>
          <cell r="P111">
            <v>-98850.5</v>
          </cell>
          <cell r="R111">
            <v>55693</v>
          </cell>
        </row>
        <row r="112">
          <cell r="A112">
            <v>39657</v>
          </cell>
          <cell r="J112">
            <v>-22141.83</v>
          </cell>
          <cell r="L112">
            <v>-21120.29</v>
          </cell>
          <cell r="M112">
            <v>-12048.05</v>
          </cell>
          <cell r="P112">
            <v>-79131.74</v>
          </cell>
          <cell r="R112">
            <v>49225</v>
          </cell>
        </row>
        <row r="113">
          <cell r="A113">
            <v>39688</v>
          </cell>
          <cell r="J113">
            <v>-16643.09</v>
          </cell>
          <cell r="L113">
            <v>-8111.95</v>
          </cell>
          <cell r="M113">
            <v>-12266.09</v>
          </cell>
          <cell r="P113">
            <v>-65774.13</v>
          </cell>
          <cell r="R113">
            <v>40229</v>
          </cell>
        </row>
        <row r="114">
          <cell r="A114">
            <v>39719</v>
          </cell>
          <cell r="J114">
            <v>-13668.11</v>
          </cell>
          <cell r="L114">
            <v>-38502.91</v>
          </cell>
          <cell r="M114">
            <v>-11421.39</v>
          </cell>
          <cell r="P114">
            <v>-67772.64</v>
          </cell>
          <cell r="R114">
            <v>41877</v>
          </cell>
        </row>
        <row r="115">
          <cell r="A115">
            <v>39750</v>
          </cell>
          <cell r="J115">
            <v>-15325.36</v>
          </cell>
          <cell r="L115">
            <v>-945.07</v>
          </cell>
          <cell r="M115">
            <v>-11425.85</v>
          </cell>
          <cell r="P115">
            <v>-69870.25</v>
          </cell>
          <cell r="R115">
            <v>45357</v>
          </cell>
        </row>
      </sheetData>
      <sheetData sheetId="30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11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  <c r="H7" s="180"/>
      <c r="I7" s="180"/>
      <c r="J7" s="180"/>
      <c r="K7" s="180"/>
    </row>
    <row r="8" spans="2:14" ht="12.75" customHeight="1">
      <c r="B8" s="4" t="s">
        <v>7</v>
      </c>
      <c r="D8" s="14">
        <f>F8</f>
        <v>8.3347</v>
      </c>
      <c r="E8" s="15" t="s">
        <v>8</v>
      </c>
      <c r="F8" s="16">
        <f>F25</f>
        <v>8.3347</v>
      </c>
      <c r="H8" s="180"/>
      <c r="I8" s="180"/>
      <c r="J8" s="180"/>
      <c r="K8" s="180"/>
      <c r="N8" s="17"/>
    </row>
    <row r="9" spans="2:14" ht="12.75" customHeight="1">
      <c r="B9" s="4" t="s">
        <v>9</v>
      </c>
      <c r="D9" s="14">
        <f>+'[1]Summ Work'!D9</f>
        <v>-0.0601</v>
      </c>
      <c r="E9" s="15"/>
      <c r="F9" s="16"/>
      <c r="H9" s="180"/>
      <c r="I9" s="180"/>
      <c r="J9" s="180"/>
      <c r="K9" s="180"/>
      <c r="N9" s="17"/>
    </row>
    <row r="10" spans="2:11" ht="12.75" customHeight="1">
      <c r="B10" s="4" t="s">
        <v>10</v>
      </c>
      <c r="D10" s="14"/>
      <c r="E10" s="15" t="s">
        <v>8</v>
      </c>
      <c r="F10" s="16">
        <f>F33</f>
        <v>-0.0057</v>
      </c>
      <c r="H10" s="180"/>
      <c r="I10" s="181"/>
      <c r="J10" s="180"/>
      <c r="K10" s="180"/>
    </row>
    <row r="11" spans="2:11" ht="12.75" customHeight="1" thickBot="1">
      <c r="B11" s="4" t="s">
        <v>11</v>
      </c>
      <c r="D11" s="14"/>
      <c r="E11" s="15" t="s">
        <v>8</v>
      </c>
      <c r="F11" s="16">
        <f>F41</f>
        <v>1.1399000000000001</v>
      </c>
      <c r="H11" s="180"/>
      <c r="I11" s="180"/>
      <c r="J11" s="180"/>
      <c r="K11" s="180"/>
    </row>
    <row r="12" spans="1:11" ht="12.75" customHeight="1" thickBot="1">
      <c r="A12" s="4" t="s">
        <v>12</v>
      </c>
      <c r="D12" s="18">
        <f>SUM(D8:D11)</f>
        <v>8.2746</v>
      </c>
      <c r="E12" s="15" t="s">
        <v>8</v>
      </c>
      <c r="F12" s="18">
        <f>SUM(F8:F11)</f>
        <v>9.468900000000001</v>
      </c>
      <c r="H12" s="180"/>
      <c r="I12" s="180"/>
      <c r="J12" s="180"/>
      <c r="K12" s="180"/>
    </row>
    <row r="13" spans="8:11" ht="12.75" customHeight="1">
      <c r="H13" s="180"/>
      <c r="I13" s="182"/>
      <c r="J13" s="180"/>
      <c r="K13" s="180"/>
    </row>
    <row r="14" spans="2:11" ht="12.75" customHeight="1">
      <c r="B14" s="15" t="s">
        <v>13</v>
      </c>
      <c r="C14" s="15"/>
      <c r="D14" s="20">
        <f>'[1]Instruct &amp; Input'!C52</f>
        <v>39874</v>
      </c>
      <c r="E14" s="15" t="s">
        <v>14</v>
      </c>
      <c r="F14" s="21">
        <f>'[1]Instruct &amp; Input'!E10</f>
        <v>39902</v>
      </c>
      <c r="H14" s="180"/>
      <c r="I14" s="180"/>
      <c r="J14" s="180"/>
      <c r="K14" s="180"/>
    </row>
    <row r="15" spans="8:11" ht="12.75" customHeight="1">
      <c r="H15" s="180"/>
      <c r="I15" s="180"/>
      <c r="J15" s="180"/>
      <c r="K15" s="180"/>
    </row>
    <row r="16" spans="1:11" ht="12.75" customHeight="1">
      <c r="A16" s="9" t="s">
        <v>15</v>
      </c>
      <c r="B16" s="9"/>
      <c r="C16" s="9"/>
      <c r="D16" s="9"/>
      <c r="E16" s="9"/>
      <c r="F16" s="22"/>
      <c r="H16" s="180"/>
      <c r="I16" s="180"/>
      <c r="J16" s="180"/>
      <c r="K16" s="180"/>
    </row>
    <row r="17" spans="1:11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H17" s="180"/>
      <c r="I17" s="183"/>
      <c r="J17" s="180"/>
      <c r="K17" s="180"/>
    </row>
    <row r="18" spans="2:11" ht="12.75" customHeight="1">
      <c r="B18" s="4" t="s">
        <v>16</v>
      </c>
      <c r="E18" s="15" t="s">
        <v>17</v>
      </c>
      <c r="F18" s="23">
        <f>'Sched 1 File'!D42</f>
        <v>124572075</v>
      </c>
      <c r="H18" s="180"/>
      <c r="I18" s="180"/>
      <c r="J18" s="180"/>
      <c r="K18" s="180"/>
    </row>
    <row r="19" spans="2:11" ht="12.75" customHeight="1">
      <c r="B19" s="4" t="s">
        <v>18</v>
      </c>
      <c r="E19" s="15" t="s">
        <v>19</v>
      </c>
      <c r="F19" s="24">
        <f>('[1]Sales &amp; CHOICE Volumes'!B51)+('[1]Sales &amp; CHOICE Volumes'!D51)</f>
        <v>85267000</v>
      </c>
      <c r="H19" s="180"/>
      <c r="I19" s="183"/>
      <c r="J19" s="180"/>
      <c r="K19" s="180"/>
    </row>
    <row r="20" spans="2:11" ht="12.75" customHeight="1">
      <c r="B20" s="4" t="s">
        <v>20</v>
      </c>
      <c r="E20" s="15" t="s">
        <v>8</v>
      </c>
      <c r="F20" s="25">
        <f>ROUND(F18/F19,4)</f>
        <v>1.461</v>
      </c>
      <c r="H20" s="180"/>
      <c r="I20" s="183"/>
      <c r="J20" s="180"/>
      <c r="K20" s="180"/>
    </row>
    <row r="21" spans="2:6" ht="12.75" customHeight="1">
      <c r="B21" s="4" t="s">
        <v>21</v>
      </c>
      <c r="E21" s="15" t="s">
        <v>17</v>
      </c>
      <c r="F21" s="23">
        <f>SUM('Sched 1 File'!E42:F42)</f>
        <v>586102683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85267000</v>
      </c>
    </row>
    <row r="23" spans="2:6" ht="12.75" customHeight="1">
      <c r="B23" s="4" t="s">
        <v>23</v>
      </c>
      <c r="E23" s="15" t="s">
        <v>8</v>
      </c>
      <c r="F23" s="25">
        <f>ROUND(F21/F22,4)</f>
        <v>6.8737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8.3347</v>
      </c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-0.0001</v>
      </c>
    </row>
    <row r="30" spans="2:6" ht="12.75" customHeight="1">
      <c r="B30" s="4" t="s">
        <v>27</v>
      </c>
      <c r="E30" s="15" t="s">
        <v>8</v>
      </c>
      <c r="F30" s="28">
        <f>'[1]Summ Work'!F30</f>
        <v>0</v>
      </c>
    </row>
    <row r="31" spans="2:6" ht="12.75" customHeight="1">
      <c r="B31" s="4" t="s">
        <v>28</v>
      </c>
      <c r="E31" s="15" t="s">
        <v>8</v>
      </c>
      <c r="F31" s="28">
        <f>'[1]Summ Work'!F31</f>
        <v>-0.0015</v>
      </c>
    </row>
    <row r="32" spans="2:6" ht="12.75" customHeight="1">
      <c r="B32" s="4" t="s">
        <v>29</v>
      </c>
      <c r="E32" s="15" t="s">
        <v>8</v>
      </c>
      <c r="F32" s="28">
        <f>'[1]Summ Work'!F32</f>
        <v>-0.0041</v>
      </c>
    </row>
    <row r="33" spans="1:6" ht="12.75" customHeight="1">
      <c r="A33" s="4" t="s">
        <v>10</v>
      </c>
      <c r="E33" s="15" t="s">
        <v>8</v>
      </c>
      <c r="F33" s="27">
        <f>SUM(F29:F32)</f>
        <v>-0.0057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-0.2374</v>
      </c>
    </row>
    <row r="38" spans="2:6" ht="12.75" customHeight="1">
      <c r="B38" s="4" t="s">
        <v>32</v>
      </c>
      <c r="E38" s="15" t="s">
        <v>8</v>
      </c>
      <c r="F38" s="28">
        <f>'[1]Summ Work'!F38</f>
        <v>0.898</v>
      </c>
    </row>
    <row r="39" spans="2:6" ht="12.75" customHeight="1">
      <c r="B39" s="4" t="s">
        <v>33</v>
      </c>
      <c r="E39" s="15" t="s">
        <v>8</v>
      </c>
      <c r="F39" s="28">
        <f>'[1]Summ Work'!F39</f>
        <v>-0.6959</v>
      </c>
    </row>
    <row r="40" spans="2:6" ht="12.75" customHeight="1">
      <c r="B40" s="4" t="s">
        <v>34</v>
      </c>
      <c r="E40" s="15" t="s">
        <v>8</v>
      </c>
      <c r="F40" s="28">
        <f>'[1]Summ Work'!F40</f>
        <v>1.1752</v>
      </c>
    </row>
    <row r="41" spans="1:6" ht="12.75" customHeight="1">
      <c r="A41" s="4" t="s">
        <v>11</v>
      </c>
      <c r="E41" s="15" t="s">
        <v>8</v>
      </c>
      <c r="F41" s="27">
        <f>SUM(F37:F40)</f>
        <v>1.1399000000000001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39860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">
      <selection activeCell="F23" sqref="F23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March 2, 2009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January 31, 2010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156224874</v>
      </c>
      <c r="E17" s="47">
        <f>'[1]Sched 1A Work'!I39</f>
        <v>245383290</v>
      </c>
      <c r="F17" s="47">
        <f>'[1]Sched 1A Work'!I44</f>
        <v>1251387</v>
      </c>
      <c r="G17" s="47">
        <f aca="true" t="shared" si="0" ref="G17:G27">SUM(D17:F17)</f>
        <v>402859551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13846768</v>
      </c>
      <c r="E18" s="47">
        <f>'Sched 1A File'!I129</f>
        <v>0</v>
      </c>
      <c r="F18" s="47">
        <f>'Sched 1A File'!I134</f>
        <v>0</v>
      </c>
      <c r="G18" s="47">
        <f t="shared" si="0"/>
        <v>13846768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2417400</v>
      </c>
      <c r="E19" s="47">
        <f>'Sched 1A File'!I182</f>
        <v>5742750</v>
      </c>
      <c r="F19" s="47">
        <f>'Sched 1A File'!I189</f>
        <v>74036</v>
      </c>
      <c r="G19" s="47">
        <f t="shared" si="0"/>
        <v>8234186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1234220</v>
      </c>
      <c r="E20" s="47">
        <f>'Sched 1A File'!I269</f>
        <v>0</v>
      </c>
      <c r="F20" s="47">
        <f>'Sched 1A File'!I274</f>
        <v>0</v>
      </c>
      <c r="G20" s="47">
        <f t="shared" si="0"/>
        <v>1234220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0</v>
      </c>
      <c r="E21" s="47">
        <f>'Sched 1A File'!I322</f>
        <v>0</v>
      </c>
      <c r="F21" s="47">
        <f>'Sched 1A File'!I327</f>
        <v>0</v>
      </c>
      <c r="G21" s="47">
        <f t="shared" si="0"/>
        <v>0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1862335</v>
      </c>
      <c r="E25" s="47">
        <f>'Sched 1A File'!I534</f>
        <v>0</v>
      </c>
      <c r="F25" s="47">
        <f>'Sched 1A File'!I539</f>
        <v>0</v>
      </c>
      <c r="G25" s="47">
        <f t="shared" si="0"/>
        <v>1862335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16063749</v>
      </c>
      <c r="E27" s="47">
        <f>'Sched 1A File'!I640</f>
        <v>0</v>
      </c>
      <c r="F27" s="47">
        <f>'Sched 1A File'!K645</f>
        <v>0</v>
      </c>
      <c r="G27" s="48">
        <f t="shared" si="0"/>
        <v>16063749</v>
      </c>
    </row>
    <row r="28" spans="1:7" ht="12.75" customHeight="1" thickBot="1">
      <c r="A28" s="49"/>
      <c r="B28" s="50" t="s">
        <v>54</v>
      </c>
      <c r="C28" s="51"/>
      <c r="D28" s="52">
        <f>SUM(D17:D27)</f>
        <v>191649346</v>
      </c>
      <c r="E28" s="52">
        <f>SUM(E17:E27)</f>
        <v>251126040</v>
      </c>
      <c r="F28" s="52">
        <f>SUM(F17:F27)</f>
        <v>1325423</v>
      </c>
      <c r="G28" s="52">
        <f>SUM(G17:G27)</f>
        <v>444100809</v>
      </c>
    </row>
    <row r="29" spans="1:7" ht="12.75" customHeight="1">
      <c r="A29" s="45"/>
      <c r="B29" s="46"/>
      <c r="C29" s="42" t="s">
        <v>55</v>
      </c>
      <c r="D29" s="53">
        <f>'[1]Sales &amp; CHOICE Volumes'!E63</f>
        <v>0.65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124572075</v>
      </c>
      <c r="E30" s="47">
        <f>E28</f>
        <v>251126040</v>
      </c>
      <c r="F30" s="47">
        <f>F28</f>
        <v>1325423</v>
      </c>
      <c r="G30" s="47">
        <f>SUM(D30:F30)</f>
        <v>377023538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1B File'!E30</f>
        <v>28644500</v>
      </c>
      <c r="F36" s="52">
        <v>0</v>
      </c>
      <c r="G36" s="52">
        <f>SUM(D36:F36)</f>
        <v>28644500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1B File'!E46</f>
        <v>305006720</v>
      </c>
      <c r="F40" s="54">
        <v>0</v>
      </c>
      <c r="G40" s="54">
        <f>SUM(D40:F40)</f>
        <v>305006720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124572075</v>
      </c>
      <c r="E42" s="52">
        <f>SUM(E30:E40)</f>
        <v>584777260</v>
      </c>
      <c r="F42" s="52">
        <f>SUM(F30:F40)</f>
        <v>1325423</v>
      </c>
      <c r="G42" s="52">
        <f>SUM(G30:G40)</f>
        <v>710674758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710674758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53"/>
  <sheetViews>
    <sheetView zoomScale="75" zoomScaleNormal="75" workbookViewId="0" topLeftCell="A463">
      <selection activeCell="F23" sqref="F23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March 2, 2009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January 31, 2010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39845</v>
      </c>
      <c r="H14" s="32" t="s">
        <v>81</v>
      </c>
      <c r="I14" s="65" t="str">
        <f>IF(ISBLANK('[1]Demand'!AA2864)," ",'[1]Demand'!AA2864)</f>
        <v>25, 26 &amp; 29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*</v>
      </c>
      <c r="E25" s="76">
        <f>IF(AND(ISBLANK('[1]Demand'!Y2864),'[1]Demand'!U2864&gt;0),'[1]Demand'!U2864," ")</f>
        <v>5.775000000000001</v>
      </c>
      <c r="F25" s="46"/>
      <c r="G25" s="77">
        <f>IF(AND(ISBLANK('[1]Demand'!Y2864),'[1]Demand'!V2864&gt;0),'[1]Demand'!V2864," ")</f>
        <v>8670612</v>
      </c>
      <c r="H25" s="46"/>
      <c r="I25" s="78">
        <f>IF(AND(ISBLANK('[1]Demand'!Y2864),'[1]Demand'!W2864&gt;0),'[1]Demand'!W2864," ")</f>
        <v>50072784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*</v>
      </c>
      <c r="E26" s="76">
        <f>IF(AND(ISBLANK('[1]Demand'!Y2865),'[1]Demand'!U2865&gt;0),'[1]Demand'!U2865," ")</f>
        <v>5.775000000000001</v>
      </c>
      <c r="F26" s="46"/>
      <c r="G26" s="77">
        <f>IF(AND(ISBLANK('[1]Demand'!Y2865),'[1]Demand'!V2865&gt;0),'[1]Demand'!V2865," ")</f>
        <v>4335306</v>
      </c>
      <c r="H26" s="46"/>
      <c r="I26" s="78">
        <f>IF(AND(ISBLANK('[1]Demand'!Y2865),'[1]Demand'!W2865&gt;0),'[1]Demand'!W2865," ")</f>
        <v>25036392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*</v>
      </c>
      <c r="E27" s="76">
        <f>IF(AND(ISBLANK('[1]Demand'!Y2866),'[1]Demand'!U2866&gt;0),'[1]Demand'!U2866," ")</f>
        <v>5.945000000000001</v>
      </c>
      <c r="F27" s="46"/>
      <c r="G27" s="77">
        <f>IF(AND(ISBLANK('[1]Demand'!Y2866),'[1]Demand'!V2866&gt;0),'[1]Demand'!V2866," ")</f>
        <v>4561800</v>
      </c>
      <c r="H27" s="46"/>
      <c r="I27" s="78">
        <f>IF(AND(ISBLANK('[1]Demand'!Y2866),'[1]Demand'!W2866&gt;0),'[1]Demand'!W2866," ")</f>
        <v>27119901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*</v>
      </c>
      <c r="E28" s="76">
        <f>IF(AND(ISBLANK('[1]Demand'!Y2867),'[1]Demand'!U2867&gt;0),'[1]Demand'!U2867," ")</f>
        <v>1.505</v>
      </c>
      <c r="F28" s="46"/>
      <c r="G28" s="77">
        <f>IF(AND(ISBLANK('[1]Demand'!Y2867),'[1]Demand'!V2867&gt;0),'[1]Demand'!V2867," ")</f>
        <v>17341224</v>
      </c>
      <c r="H28" s="46"/>
      <c r="I28" s="78">
        <f>IF(AND(ISBLANK('[1]Demand'!Y2867),'[1]Demand'!W2867&gt;0),'[1]Demand'!W2867," ")</f>
        <v>26098542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*</v>
      </c>
      <c r="E29" s="76">
        <f>IF(AND(ISBLANK('[1]Demand'!Y2868),'[1]Demand'!U2868&gt;0),'[1]Demand'!U2868," ")</f>
        <v>0.0289</v>
      </c>
      <c r="F29" s="46"/>
      <c r="G29" s="77">
        <f>IF(AND(ISBLANK('[1]Demand'!Y2868),'[1]Demand'!V2868&gt;0),'[1]Demand'!V2868," ")</f>
        <v>965302956</v>
      </c>
      <c r="H29" s="46"/>
      <c r="I29" s="78">
        <f>IF(AND(ISBLANK('[1]Demand'!Y2868),'[1]Demand'!W2868&gt;0),'[1]Demand'!W2868," ")</f>
        <v>27897255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9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156224874</v>
      </c>
    </row>
    <row r="35" spans="1:9" ht="12.75" customHeight="1">
      <c r="A35" s="66"/>
      <c r="E35" s="90"/>
      <c r="G35" s="66"/>
      <c r="I35" s="57"/>
    </row>
    <row r="36" spans="1:9" ht="12.75" customHeight="1">
      <c r="A36" s="91" t="s">
        <v>48</v>
      </c>
      <c r="B36" s="75"/>
      <c r="E36" s="90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Input'!$Z$34="Y"),"*"," ")</f>
        <v> </v>
      </c>
      <c r="E37" s="90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0">
        <f>'[1]Instruct &amp; Input'!Y32</f>
        <v>5.89</v>
      </c>
      <c r="G38" s="66">
        <f>'[1]Estimates'!B20</f>
        <v>41661000</v>
      </c>
      <c r="I38" s="92">
        <f>ROUND(G38*E38,0)</f>
        <v>245383290</v>
      </c>
    </row>
    <row r="39" spans="1:9" ht="12.75" customHeight="1" thickBot="1">
      <c r="A39" s="93" t="s">
        <v>104</v>
      </c>
      <c r="B39" s="86"/>
      <c r="C39" s="86"/>
      <c r="D39" s="94"/>
      <c r="E39" s="95"/>
      <c r="F39" s="86"/>
      <c r="G39" s="89"/>
      <c r="H39" s="86"/>
      <c r="I39" s="58">
        <f>SUM(I37:I38)</f>
        <v>245383290</v>
      </c>
    </row>
    <row r="40" spans="1:9" ht="12.75" customHeight="1">
      <c r="A40" s="45"/>
      <c r="E40" s="90"/>
      <c r="G40" s="66"/>
      <c r="I40" s="73"/>
    </row>
    <row r="41" spans="1:9" ht="12.75" customHeight="1">
      <c r="A41" s="96" t="s">
        <v>49</v>
      </c>
      <c r="B41" s="75"/>
      <c r="E41" s="90"/>
      <c r="G41" s="66"/>
      <c r="I41" s="73"/>
    </row>
    <row r="42" spans="1:9" ht="12.75" customHeight="1">
      <c r="A42" s="66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0">
        <f>'[1]Instruct &amp; Input'!Y39</f>
        <v>0.0153</v>
      </c>
      <c r="G42" s="66">
        <f>'[1]Estimates'!I21</f>
        <v>40129000</v>
      </c>
      <c r="I42" s="57">
        <f>ROUND(G42*E42,0)</f>
        <v>613974</v>
      </c>
    </row>
    <row r="43" spans="1:9" ht="12.75" customHeight="1">
      <c r="A43" s="66"/>
      <c r="B43" s="4" t="s">
        <v>105</v>
      </c>
      <c r="D43" s="15" t="str">
        <f>IF(AND(E43&gt;0,'[1]Instruct &amp; Input'!$Z$40="Y"),"*"," ")</f>
        <v> </v>
      </c>
      <c r="E43" s="90">
        <v>0.0153</v>
      </c>
      <c r="G43" s="66">
        <f>'[1]Estimates'!J21</f>
        <v>41661000</v>
      </c>
      <c r="I43" s="92">
        <f>ROUND(G43*E43,0)</f>
        <v>637413</v>
      </c>
    </row>
    <row r="44" spans="1:9" ht="12.75" customHeight="1" thickBot="1">
      <c r="A44" s="89" t="s">
        <v>106</v>
      </c>
      <c r="B44" s="86"/>
      <c r="C44" s="86"/>
      <c r="D44" s="94"/>
      <c r="E44" s="95"/>
      <c r="F44" s="86"/>
      <c r="G44" s="89"/>
      <c r="H44" s="86"/>
      <c r="I44" s="97">
        <f>SUM(I42:I43)</f>
        <v>1251387</v>
      </c>
    </row>
    <row r="45" spans="1:9" ht="12.75" customHeight="1" thickBot="1">
      <c r="A45" s="66"/>
      <c r="E45" s="98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99"/>
      <c r="F46" s="8"/>
      <c r="G46" s="59"/>
      <c r="H46" s="8"/>
      <c r="I46" s="100">
        <f>SUM(I25:I44)/2</f>
        <v>402859551</v>
      </c>
    </row>
    <row r="47" spans="5:7" ht="12.75" customHeight="1">
      <c r="E47" s="98"/>
      <c r="G47" s="55"/>
    </row>
    <row r="48" ht="12.75" customHeight="1">
      <c r="G48" s="55"/>
    </row>
    <row r="49" spans="1:7" ht="12.75" customHeight="1">
      <c r="A49" s="101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2"/>
      <c r="H54" s="2"/>
      <c r="I54" s="32" t="s">
        <v>75</v>
      </c>
    </row>
    <row r="55" spans="3:9" ht="12.75" customHeight="1">
      <c r="C55" s="2"/>
      <c r="E55" s="2"/>
      <c r="F55" s="2"/>
      <c r="G55" s="102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3" t="s">
        <v>0</v>
      </c>
      <c r="C56" s="1"/>
      <c r="D56" s="1"/>
      <c r="E56" s="1"/>
      <c r="F56" s="1"/>
      <c r="G56" s="104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4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4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2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2"/>
      <c r="H61" s="2"/>
      <c r="I61" s="2"/>
    </row>
    <row r="62" spans="1:9" ht="12.75" customHeight="1">
      <c r="A62" s="2"/>
      <c r="B62" s="105" t="str">
        <f>'[1]Instruct &amp; Input'!C7&amp;" GCR"</f>
        <v>March 2, 2009 GCR</v>
      </c>
      <c r="C62" s="105"/>
      <c r="D62" s="105"/>
      <c r="E62" s="105"/>
      <c r="F62" s="105"/>
      <c r="G62" s="106"/>
      <c r="H62" s="105"/>
      <c r="I62" s="105"/>
    </row>
    <row r="63" spans="2:9" ht="12.75" customHeight="1">
      <c r="B63" s="105"/>
      <c r="C63" s="105"/>
      <c r="D63" s="107"/>
      <c r="E63" s="105"/>
      <c r="F63" s="105"/>
      <c r="G63" s="106"/>
      <c r="H63" s="105"/>
      <c r="I63" s="105"/>
    </row>
    <row r="64" ht="12.75" customHeight="1">
      <c r="G64" s="55"/>
    </row>
    <row r="65" spans="2:7" ht="12.75" customHeight="1">
      <c r="B65" s="108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09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8">
        <f>'[1]Demand'!B28</f>
        <v>5.442</v>
      </c>
    </row>
    <row r="71" spans="2:9" ht="12.75" customHeight="1">
      <c r="B71" s="4" t="str">
        <f>'[1]Demand'!A29</f>
        <v>TCRA Current Rate</v>
      </c>
      <c r="G71" s="55"/>
      <c r="I71" s="98">
        <f>'[1]Demand'!B29</f>
        <v>0.323</v>
      </c>
    </row>
    <row r="72" spans="2:9" ht="12.75" customHeight="1">
      <c r="B72" s="4" t="str">
        <f>'[1]Demand'!A30</f>
        <v>TCRA Surcharge</v>
      </c>
      <c r="G72" s="55"/>
      <c r="I72" s="98">
        <f>'[1]Demand'!B30</f>
        <v>-0.015</v>
      </c>
    </row>
    <row r="73" spans="2:9" ht="12.75" customHeight="1">
      <c r="B73" s="4" t="str">
        <f>'[1]Demand'!A31</f>
        <v>EPCA Current Rate</v>
      </c>
      <c r="G73" s="55"/>
      <c r="I73" s="98">
        <f>'[1]Demand'!B31</f>
        <v>0.027</v>
      </c>
    </row>
    <row r="74" spans="2:9" ht="12.75" customHeight="1">
      <c r="B74" s="4" t="str">
        <f>'[1]Demand'!A32</f>
        <v>EPCA Surcharge</v>
      </c>
      <c r="G74" s="55"/>
      <c r="I74" s="99">
        <f>'[1]Demand'!B32</f>
        <v>-0.002</v>
      </c>
    </row>
    <row r="75" ht="12.75" customHeight="1" thickBot="1">
      <c r="G75" s="55"/>
    </row>
    <row r="76" spans="2:9" ht="12.75" customHeight="1" thickBot="1">
      <c r="B76" s="4" t="str">
        <f>'[1]Demand'!A37</f>
        <v>TOTAL</v>
      </c>
      <c r="G76" s="55"/>
      <c r="I76" s="110">
        <f>'[1]Demand'!B37</f>
        <v>5.775000000000001</v>
      </c>
    </row>
    <row r="77" ht="12.75" customHeight="1">
      <c r="G77" s="55"/>
    </row>
    <row r="78" ht="12.75" customHeight="1">
      <c r="G78" s="55"/>
    </row>
    <row r="79" spans="2:7" ht="12.75" customHeight="1">
      <c r="B79" s="109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8">
        <f>'[1]Demand'!B104</f>
        <v>5.612</v>
      </c>
    </row>
    <row r="82" spans="2:9" ht="12.75" customHeight="1">
      <c r="B82" s="4" t="str">
        <f>'[1]Demand'!A105</f>
        <v>TCRA Current Rate</v>
      </c>
      <c r="G82" s="55"/>
      <c r="I82" s="98">
        <f>'[1]Demand'!B105</f>
        <v>0.323</v>
      </c>
    </row>
    <row r="83" spans="2:9" ht="12.75" customHeight="1">
      <c r="B83" s="4" t="str">
        <f>'[1]Demand'!A106</f>
        <v>TCRA Surcharge</v>
      </c>
      <c r="G83" s="55"/>
      <c r="I83" s="98">
        <f>'[1]Demand'!B106</f>
        <v>-0.015</v>
      </c>
    </row>
    <row r="84" spans="2:9" ht="12.75" customHeight="1">
      <c r="B84" s="4" t="str">
        <f>'[1]Demand'!A107</f>
        <v>EPCA Current Rate</v>
      </c>
      <c r="G84" s="55"/>
      <c r="I84" s="98">
        <f>'[1]Demand'!B107</f>
        <v>0.027</v>
      </c>
    </row>
    <row r="85" spans="2:9" ht="12.75" customHeight="1">
      <c r="B85" s="4" t="str">
        <f>'[1]Demand'!A108</f>
        <v>EPCA Surcharge</v>
      </c>
      <c r="G85" s="55"/>
      <c r="I85" s="98">
        <f>'[1]Demand'!B108</f>
        <v>-0.002</v>
      </c>
    </row>
    <row r="86" spans="2:9" ht="12.75" customHeight="1">
      <c r="B86" s="4" t="str">
        <f>'[1]Demand'!A109</f>
        <v>R &amp; D Funding</v>
      </c>
      <c r="G86" s="55"/>
      <c r="I86" s="99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0">
        <f>'[1]Demand'!B113</f>
        <v>5.945000000000001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March 2, 2009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January 31, 2010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39722</v>
      </c>
      <c r="H104" s="32" t="s">
        <v>81</v>
      </c>
      <c r="I104" s="111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4402788</v>
      </c>
      <c r="H115" s="46"/>
      <c r="I115" s="78">
        <f>IF(AND(ISBLANK('[1]Demand'!Y2873),'[1]Demand'!W2873&gt;0),'[1]Demand'!W2873," ")</f>
        <v>13846768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4"/>
      <c r="E124" s="95"/>
      <c r="F124" s="86"/>
      <c r="G124" s="89"/>
      <c r="H124" s="86"/>
      <c r="I124" s="58">
        <f>SUM(I115:I123)</f>
        <v>13846768</v>
      </c>
    </row>
    <row r="125" spans="1:9" ht="12.75" customHeight="1">
      <c r="A125" s="66"/>
      <c r="E125" s="90"/>
      <c r="G125" s="66"/>
      <c r="I125" s="57"/>
    </row>
    <row r="126" spans="1:9" ht="12.75" customHeight="1">
      <c r="A126" s="91" t="s">
        <v>48</v>
      </c>
      <c r="B126" s="75"/>
      <c r="E126" s="90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Input'!$Z$34="Y"),"*"," ")</f>
        <v> </v>
      </c>
      <c r="E127" s="90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0"/>
      <c r="G128" s="66"/>
      <c r="I128" s="92"/>
    </row>
    <row r="129" spans="1:9" ht="12.75" customHeight="1" thickBot="1">
      <c r="A129" s="93" t="s">
        <v>104</v>
      </c>
      <c r="B129" s="86"/>
      <c r="C129" s="86"/>
      <c r="D129" s="94"/>
      <c r="E129" s="95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0"/>
      <c r="G130" s="66"/>
      <c r="I130" s="73"/>
    </row>
    <row r="131" spans="1:9" ht="12.75" customHeight="1">
      <c r="A131" s="96" t="s">
        <v>49</v>
      </c>
      <c r="B131" s="75"/>
      <c r="E131" s="90"/>
      <c r="G131" s="66"/>
      <c r="I131" s="73"/>
    </row>
    <row r="132" spans="1:9" ht="12.75" customHeight="1">
      <c r="A132" s="66"/>
      <c r="B132" s="4" t="s">
        <v>118</v>
      </c>
      <c r="E132" s="90"/>
      <c r="G132" s="66"/>
      <c r="I132" s="57"/>
    </row>
    <row r="133" spans="1:9" ht="12.75" customHeight="1">
      <c r="A133" s="66"/>
      <c r="B133" s="4" t="s">
        <v>119</v>
      </c>
      <c r="E133" s="90"/>
      <c r="G133" s="66"/>
      <c r="I133" s="92"/>
    </row>
    <row r="134" spans="1:9" ht="12.75" customHeight="1" thickBot="1">
      <c r="A134" s="89" t="s">
        <v>106</v>
      </c>
      <c r="B134" s="86"/>
      <c r="C134" s="86"/>
      <c r="D134" s="94"/>
      <c r="E134" s="95"/>
      <c r="F134" s="86"/>
      <c r="G134" s="89"/>
      <c r="H134" s="86"/>
      <c r="I134" s="97">
        <f>SUM(I132:I133)</f>
        <v>0</v>
      </c>
    </row>
    <row r="135" spans="1:9" ht="12.75" customHeight="1">
      <c r="A135" s="55"/>
      <c r="E135" s="98"/>
      <c r="G135" s="55"/>
      <c r="I135" s="73"/>
    </row>
    <row r="136" spans="1:9" ht="12.75" customHeight="1" thickBot="1">
      <c r="A136" s="4" t="s">
        <v>107</v>
      </c>
      <c r="E136" s="98"/>
      <c r="G136" s="55"/>
      <c r="I136" s="58">
        <f>SUM(I115:I134)/2</f>
        <v>13846768</v>
      </c>
    </row>
    <row r="137" spans="5:7" ht="12.75" customHeight="1">
      <c r="E137" s="98"/>
      <c r="G137" s="55"/>
    </row>
    <row r="138" ht="12.75" customHeight="1">
      <c r="G138" s="55"/>
    </row>
    <row r="139" spans="1:7" ht="12.75" customHeight="1">
      <c r="A139" s="101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March 2, 2009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January 31, 2010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39753</v>
      </c>
      <c r="H157" s="32" t="s">
        <v>81</v>
      </c>
      <c r="I157" s="112" t="str">
        <f>IF(ISBLANK('[1]Demand'!AA2882)," ",'[1]Demand'!AA2882)</f>
        <v>5, 9, 14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 t="str">
        <f>IF(AND(ISBLANK('[1]Demand'!Y2889),'[1]Demand'!U2889&gt;0),'[1]Demand'!U2889," ")</f>
        <v> </v>
      </c>
      <c r="F170" s="46"/>
      <c r="G170" s="77" t="str">
        <f>IF(AND(ISBLANK('[1]Demand'!Y2889),'[1]Demand'!V2889&gt;0),'[1]Demand'!V2889," ")</f>
        <v> </v>
      </c>
      <c r="H170" s="46"/>
      <c r="I170" s="78" t="str">
        <f>IF(AND(ISBLANK('[1]Demand'!Y2889),'[1]Demand'!W2889&gt;0),'[1]Demand'!W2889," ")</f>
        <v> 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13.430000000000001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2417400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3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4"/>
      <c r="E177" s="95"/>
      <c r="F177" s="86"/>
      <c r="G177" s="89"/>
      <c r="H177" s="86"/>
      <c r="I177" s="58">
        <f>SUM(I168:I176)</f>
        <v>2417400</v>
      </c>
    </row>
    <row r="178" spans="1:9" ht="12.75" customHeight="1">
      <c r="A178" s="66"/>
      <c r="E178" s="90"/>
      <c r="G178" s="66"/>
      <c r="I178" s="57"/>
    </row>
    <row r="179" spans="1:9" ht="12.75" customHeight="1">
      <c r="A179" s="91" t="s">
        <v>48</v>
      </c>
      <c r="B179" s="75"/>
      <c r="E179" s="90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4" t="s">
        <v>101</v>
      </c>
      <c r="G180" s="115" t="s">
        <v>101</v>
      </c>
      <c r="I180" s="116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0">
        <f>'[1]Instruct &amp; Input'!Y32</f>
        <v>5.89</v>
      </c>
      <c r="G181" s="66">
        <f>'[1]Estimates'!D20+'[1]Estimates'!F20</f>
        <v>975000</v>
      </c>
      <c r="I181" s="92">
        <f>ROUND(G181*E181,0)</f>
        <v>5742750</v>
      </c>
    </row>
    <row r="182" spans="1:9" ht="12.75" customHeight="1" thickBot="1">
      <c r="A182" s="93" t="s">
        <v>104</v>
      </c>
      <c r="B182" s="86"/>
      <c r="C182" s="86"/>
      <c r="D182" s="94"/>
      <c r="E182" s="95"/>
      <c r="F182" s="86"/>
      <c r="G182" s="89"/>
      <c r="H182" s="86"/>
      <c r="I182" s="58">
        <f>SUM(I180:I181)</f>
        <v>5742750</v>
      </c>
    </row>
    <row r="183" spans="1:9" ht="12.75" customHeight="1">
      <c r="A183" s="45"/>
      <c r="E183" s="90"/>
      <c r="G183" s="66"/>
      <c r="I183" s="73"/>
    </row>
    <row r="184" spans="1:9" ht="12.75" customHeight="1">
      <c r="A184" s="96" t="s">
        <v>49</v>
      </c>
      <c r="B184" s="75"/>
      <c r="E184" s="90"/>
      <c r="G184" s="66"/>
      <c r="I184" s="73"/>
    </row>
    <row r="185" spans="1:9" ht="12.75" customHeight="1">
      <c r="A185" s="96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0">
        <f>'[1]Instruct &amp; Input'!Y43</f>
        <v>0.0385</v>
      </c>
      <c r="G185" s="66">
        <f>'[1]Estimates'!I38</f>
        <v>948000</v>
      </c>
      <c r="I185" s="57">
        <f>ROUND(G185*E185,0)</f>
        <v>36498</v>
      </c>
    </row>
    <row r="186" spans="1:9" ht="12.75" customHeight="1">
      <c r="A186" s="96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0">
        <f>'[1]Instruct &amp; Input'!Y44</f>
        <v>0.0385</v>
      </c>
      <c r="G186" s="66">
        <f>'[1]Estimates'!J38</f>
        <v>975000</v>
      </c>
      <c r="I186" s="57">
        <f>ROUND(G186*E186,0)</f>
        <v>37538</v>
      </c>
    </row>
    <row r="187" spans="1:9" ht="12.75" customHeight="1">
      <c r="A187" s="66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0">
        <f>'[1]Instruct &amp; Input'!Y41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0">
        <f>'[1]Instruct &amp; Input'!Y42</f>
        <v>0.0033</v>
      </c>
      <c r="G188" s="66">
        <f>'[1]Estimates'!N21</f>
        <v>0</v>
      </c>
      <c r="I188" s="92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4"/>
      <c r="E189" s="95"/>
      <c r="F189" s="86"/>
      <c r="G189" s="89"/>
      <c r="H189" s="86"/>
      <c r="I189" s="97">
        <f>SUM(I185:I188)</f>
        <v>74036</v>
      </c>
    </row>
    <row r="190" spans="1:9" ht="12.75" customHeight="1">
      <c r="A190" s="55"/>
      <c r="E190" s="98"/>
      <c r="G190" s="55"/>
      <c r="I190" s="73"/>
    </row>
    <row r="191" spans="1:9" ht="12.75" customHeight="1" thickBot="1">
      <c r="A191" s="4" t="s">
        <v>107</v>
      </c>
      <c r="E191" s="98"/>
      <c r="G191" s="55"/>
      <c r="I191" s="58">
        <f>SUM(I168:I189)/2</f>
        <v>8234186</v>
      </c>
    </row>
    <row r="192" spans="5:7" ht="12.75" customHeight="1">
      <c r="E192" s="98"/>
      <c r="G192" s="55"/>
    </row>
    <row r="193" ht="12.75" customHeight="1">
      <c r="G193" s="55"/>
    </row>
    <row r="194" spans="1:7" ht="12.75" customHeight="1">
      <c r="A194" s="101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2"/>
      <c r="H199" s="2"/>
      <c r="I199" s="32" t="s">
        <v>75</v>
      </c>
    </row>
    <row r="200" spans="3:9" ht="12.75" customHeight="1">
      <c r="C200" s="2"/>
      <c r="E200" s="2"/>
      <c r="F200" s="2"/>
      <c r="G200" s="102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3" t="s">
        <v>0</v>
      </c>
      <c r="C201" s="1"/>
      <c r="D201" s="1"/>
      <c r="E201" s="1"/>
      <c r="F201" s="1"/>
      <c r="G201" s="104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4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4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2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2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2"/>
      <c r="H206" s="2"/>
      <c r="I206" s="2"/>
    </row>
    <row r="207" spans="1:9" ht="12.75" customHeight="1">
      <c r="A207" s="2"/>
      <c r="B207" s="2" t="str">
        <f>E152&amp;" GCR"</f>
        <v>March 2, 2009 GCR</v>
      </c>
      <c r="C207" s="105"/>
      <c r="D207" s="105"/>
      <c r="E207" s="105"/>
      <c r="F207" s="105"/>
      <c r="G207" s="106"/>
      <c r="H207" s="105"/>
      <c r="I207" s="105"/>
    </row>
    <row r="208" spans="2:9" ht="12.75" customHeight="1">
      <c r="B208" s="105"/>
      <c r="C208" s="105"/>
      <c r="D208" s="107"/>
      <c r="E208" s="105"/>
      <c r="F208" s="105"/>
      <c r="G208" s="106"/>
      <c r="H208" s="105"/>
      <c r="I208" s="105"/>
    </row>
    <row r="209" ht="12.75" customHeight="1">
      <c r="G209" s="55"/>
    </row>
    <row r="210" spans="2:7" ht="12.75" customHeight="1">
      <c r="B210" s="109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8">
        <f>'[1]Demand'!B941</f>
        <v>4.73</v>
      </c>
    </row>
    <row r="213" spans="2:9" ht="12.75" customHeight="1">
      <c r="B213" s="4" t="str">
        <f>'[1]Demand'!A979</f>
        <v>Access Charge</v>
      </c>
      <c r="G213" s="55"/>
      <c r="I213" s="98">
        <f>'[1]Demand'!B940</f>
        <v>3.3</v>
      </c>
    </row>
    <row r="214" spans="2:9" ht="12.75" customHeight="1">
      <c r="B214" s="4" t="str">
        <f>'[1]Demand'!A982</f>
        <v>N/A</v>
      </c>
      <c r="G214" s="55"/>
      <c r="I214" s="98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8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0">
        <f>SUM(I212:I216)</f>
        <v>13.430000000000001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March 2, 2009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January 31, 2010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39722</v>
      </c>
      <c r="H244" s="32" t="s">
        <v>81</v>
      </c>
      <c r="I244" s="112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371328</v>
      </c>
      <c r="H255" s="46"/>
      <c r="I255" s="78">
        <f>IF(AND(ISBLANK('[1]Demand'!Y2892),'[1]Demand'!W2892&gt;0),'[1]Demand'!W2892," ")</f>
        <v>1234220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4"/>
      <c r="E264" s="95"/>
      <c r="F264" s="86"/>
      <c r="G264" s="89"/>
      <c r="H264" s="86"/>
      <c r="I264" s="58">
        <f>SUM(I255:I263)</f>
        <v>1234220</v>
      </c>
    </row>
    <row r="265" spans="1:9" ht="12.75" customHeight="1">
      <c r="A265" s="66"/>
      <c r="E265" s="90"/>
      <c r="G265" s="66"/>
      <c r="I265" s="57"/>
    </row>
    <row r="266" spans="1:9" ht="12.75" customHeight="1">
      <c r="A266" s="91" t="s">
        <v>48</v>
      </c>
      <c r="B266" s="75"/>
      <c r="E266" s="90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Input'!$Z$34="Y"),"*"," ")</f>
        <v> </v>
      </c>
      <c r="E267" s="90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0"/>
      <c r="G268" s="66"/>
      <c r="I268" s="92">
        <f>ROUND(G268*E268,0)</f>
        <v>0</v>
      </c>
    </row>
    <row r="269" spans="1:9" ht="12.75" customHeight="1" thickBot="1">
      <c r="A269" s="93" t="s">
        <v>104</v>
      </c>
      <c r="B269" s="86"/>
      <c r="C269" s="86"/>
      <c r="D269" s="94"/>
      <c r="E269" s="95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0"/>
      <c r="G270" s="66"/>
      <c r="I270" s="73"/>
    </row>
    <row r="271" spans="1:9" ht="12.75" customHeight="1">
      <c r="A271" s="96" t="s">
        <v>49</v>
      </c>
      <c r="B271" s="75"/>
      <c r="E271" s="90"/>
      <c r="G271" s="66"/>
      <c r="I271" s="73"/>
    </row>
    <row r="272" spans="1:9" ht="12.75" customHeight="1">
      <c r="A272" s="66"/>
      <c r="B272" s="4" t="s">
        <v>118</v>
      </c>
      <c r="E272" s="90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0"/>
      <c r="G273" s="66"/>
      <c r="I273" s="92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4"/>
      <c r="E274" s="95"/>
      <c r="F274" s="86"/>
      <c r="G274" s="89"/>
      <c r="H274" s="86"/>
      <c r="I274" s="97">
        <f>SUM(I272:I273)</f>
        <v>0</v>
      </c>
    </row>
    <row r="275" spans="1:9" ht="12.75" customHeight="1">
      <c r="A275" s="117"/>
      <c r="E275" s="98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99"/>
      <c r="F276" s="8"/>
      <c r="G276" s="59"/>
      <c r="H276" s="83"/>
      <c r="I276" s="58">
        <f>SUM(I255:I274)/2</f>
        <v>1234220</v>
      </c>
    </row>
    <row r="277" spans="5:7" ht="12.75" customHeight="1">
      <c r="E277" s="98"/>
      <c r="G277" s="55"/>
    </row>
    <row r="278" ht="12.75" customHeight="1">
      <c r="G278" s="55"/>
    </row>
    <row r="279" spans="1:7" ht="12.75" customHeight="1">
      <c r="A279" s="101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March 2, 2009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January 31, 2010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2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6" t="str">
        <f>IF(AND(ISBLANK('[1]Demand'!Y2902),'[1]Demand'!U2902&gt;0),'[1]Demand'!U2902," ")</f>
        <v> </v>
      </c>
      <c r="F309" s="46"/>
      <c r="G309" s="77" t="str">
        <f>IF(AND(ISBLANK('[1]Demand'!Y2902),'[1]Demand'!V2902&gt;0),'[1]Demand'!V2902," ")</f>
        <v> </v>
      </c>
      <c r="H309" s="46"/>
      <c r="I309" s="78" t="str">
        <f>IF(AND(ISBLANK('[1]Demand'!Y2902),'[1]Demand'!W2902&gt;0),'[1]Demand'!W2902," ")</f>
        <v> 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6" t="str">
        <f>IF(AND(ISBLANK('[1]Demand'!Y2903),'[1]Demand'!U2903&gt;0),'[1]Demand'!U2903," ")</f>
        <v> </v>
      </c>
      <c r="F310" s="46"/>
      <c r="G310" s="77" t="str">
        <f>IF(AND(ISBLANK('[1]Demand'!Y2903),'[1]Demand'!V2903&gt;0),'[1]Demand'!V2903," ")</f>
        <v> </v>
      </c>
      <c r="H310" s="46"/>
      <c r="I310" s="78" t="str">
        <f>IF(AND(ISBLANK('[1]Demand'!Y2903),'[1]Demand'!W2903&gt;0),'[1]Demand'!W2903," ")</f>
        <v> 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 t="str">
        <f>IF(AND(ISBLANK('[1]Demand'!Y2904),'[1]Demand'!U2904&gt;0),'[1]Demand'!U2904," ")</f>
        <v> </v>
      </c>
      <c r="F311" s="46"/>
      <c r="G311" s="77" t="str">
        <f>IF(AND(ISBLANK('[1]Demand'!Y2904),'[1]Demand'!V2904&gt;0),'[1]Demand'!V2904," ")</f>
        <v> </v>
      </c>
      <c r="H311" s="46"/>
      <c r="I311" s="78" t="str">
        <f>IF(AND(ISBLANK('[1]Demand'!Y2904),'[1]Demand'!W2904&gt;0),'[1]Demand'!W2904," ")</f>
        <v> 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4"/>
      <c r="E317" s="95"/>
      <c r="F317" s="86"/>
      <c r="G317" s="89"/>
      <c r="H317" s="86"/>
      <c r="I317" s="58">
        <f>SUM(I308:I316)</f>
        <v>0</v>
      </c>
    </row>
    <row r="318" spans="1:9" ht="12.75" customHeight="1">
      <c r="A318" s="66"/>
      <c r="E318" s="90"/>
      <c r="G318" s="66"/>
      <c r="I318" s="57"/>
    </row>
    <row r="319" spans="1:9" ht="12.75" customHeight="1">
      <c r="A319" s="91" t="s">
        <v>48</v>
      </c>
      <c r="B319" s="75"/>
      <c r="E319" s="90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Input'!$Z$34="Y"),"*"," ")</f>
        <v> </v>
      </c>
      <c r="E320" s="90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0"/>
      <c r="G321" s="66"/>
      <c r="I321" s="92">
        <f>ROUND(G321*E321,0)</f>
        <v>0</v>
      </c>
    </row>
    <row r="322" spans="1:9" ht="12.75" customHeight="1" thickBot="1">
      <c r="A322" s="93" t="s">
        <v>104</v>
      </c>
      <c r="B322" s="86"/>
      <c r="C322" s="86"/>
      <c r="D322" s="94"/>
      <c r="E322" s="95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0"/>
      <c r="G323" s="66"/>
      <c r="I323" s="73"/>
    </row>
    <row r="324" spans="1:9" ht="12.75" customHeight="1">
      <c r="A324" s="96" t="s">
        <v>49</v>
      </c>
      <c r="B324" s="75"/>
      <c r="E324" s="90"/>
      <c r="G324" s="66"/>
      <c r="I324" s="73"/>
    </row>
    <row r="325" spans="1:9" ht="12.75" customHeight="1">
      <c r="A325" s="66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0">
        <f>'[1]Instruct &amp; Input'!Y45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0">
        <f>'[1]Instruct &amp; Input'!Y46</f>
        <v>0</v>
      </c>
      <c r="G326" s="66"/>
      <c r="I326" s="92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4"/>
      <c r="E327" s="95"/>
      <c r="F327" s="86"/>
      <c r="G327" s="89"/>
      <c r="H327" s="86"/>
      <c r="I327" s="97">
        <f>SUM(I325:I326)</f>
        <v>0</v>
      </c>
    </row>
    <row r="328" spans="1:9" ht="12.75" customHeight="1">
      <c r="A328" s="55"/>
      <c r="E328" s="98"/>
      <c r="G328" s="55"/>
      <c r="I328" s="73"/>
    </row>
    <row r="329" spans="1:9" ht="12.75" customHeight="1" thickBot="1">
      <c r="A329" s="4" t="s">
        <v>107</v>
      </c>
      <c r="E329" s="98"/>
      <c r="G329" s="55"/>
      <c r="I329" s="58">
        <f>SUM(I308:I327)/2</f>
        <v>0</v>
      </c>
    </row>
    <row r="330" spans="5:7" ht="12.75" customHeight="1">
      <c r="E330" s="98"/>
      <c r="G330" s="55"/>
    </row>
    <row r="331" ht="12.75" customHeight="1">
      <c r="G331" s="55"/>
    </row>
    <row r="332" spans="1:7" ht="12.75" customHeight="1">
      <c r="A332" s="101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March 2, 2009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January 31, 2010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2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4"/>
      <c r="E370" s="95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0"/>
      <c r="G371" s="66"/>
      <c r="I371" s="57"/>
    </row>
    <row r="372" spans="1:9" ht="12.75" customHeight="1">
      <c r="A372" s="91" t="s">
        <v>48</v>
      </c>
      <c r="B372" s="75"/>
      <c r="E372" s="90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Input'!$Z$34="Y"),"*"," ")</f>
        <v> </v>
      </c>
      <c r="E373" s="90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0"/>
      <c r="G374" s="66"/>
      <c r="I374" s="92">
        <f>ROUND(G374*E374,0)</f>
        <v>0</v>
      </c>
    </row>
    <row r="375" spans="1:9" ht="12.75" customHeight="1" thickBot="1">
      <c r="A375" s="93" t="s">
        <v>104</v>
      </c>
      <c r="B375" s="86"/>
      <c r="C375" s="86"/>
      <c r="D375" s="94"/>
      <c r="E375" s="95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0"/>
      <c r="G376" s="66"/>
      <c r="I376" s="73"/>
    </row>
    <row r="377" spans="1:9" ht="12.75" customHeight="1">
      <c r="A377" s="96" t="s">
        <v>49</v>
      </c>
      <c r="B377" s="75"/>
      <c r="E377" s="90"/>
      <c r="G377" s="66"/>
      <c r="I377" s="73"/>
    </row>
    <row r="378" spans="1:9" ht="12.75" customHeight="1">
      <c r="A378" s="66"/>
      <c r="B378" s="4" t="s">
        <v>118</v>
      </c>
      <c r="E378" s="90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0"/>
      <c r="G379" s="66"/>
      <c r="I379" s="92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4"/>
      <c r="E380" s="95"/>
      <c r="F380" s="86"/>
      <c r="G380" s="89"/>
      <c r="H380" s="86"/>
      <c r="I380" s="97">
        <f>SUM(I378:I379)</f>
        <v>0</v>
      </c>
    </row>
    <row r="381" spans="1:9" ht="12.75" customHeight="1">
      <c r="A381" s="55"/>
      <c r="E381" s="98"/>
      <c r="G381" s="55"/>
      <c r="I381" s="73"/>
    </row>
    <row r="382" spans="1:9" ht="12.75" customHeight="1" thickBot="1">
      <c r="A382" s="4" t="s">
        <v>107</v>
      </c>
      <c r="E382" s="98"/>
      <c r="G382" s="55"/>
      <c r="I382" s="58">
        <f>SUM(I361:I380)/2</f>
        <v>0</v>
      </c>
    </row>
    <row r="383" spans="5:7" ht="12.75" customHeight="1">
      <c r="E383" s="98"/>
      <c r="G383" s="55"/>
    </row>
    <row r="384" ht="12.75" customHeight="1">
      <c r="G384" s="55"/>
    </row>
    <row r="385" spans="1:7" ht="12.75" customHeight="1">
      <c r="A385" s="101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March 2, 2009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January 31, 2010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2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4"/>
      <c r="E423" s="95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0"/>
      <c r="G424" s="66"/>
      <c r="I424" s="57"/>
    </row>
    <row r="425" spans="1:9" ht="12.75" customHeight="1">
      <c r="A425" s="91" t="s">
        <v>48</v>
      </c>
      <c r="B425" s="75"/>
      <c r="E425" s="90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Input'!$Z$34="Y"),"*"," ")</f>
        <v> </v>
      </c>
      <c r="E426" s="90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0"/>
      <c r="G427" s="66"/>
      <c r="I427" s="92">
        <f>ROUND(G427*E427,0)</f>
        <v>0</v>
      </c>
    </row>
    <row r="428" spans="1:9" ht="12.75" customHeight="1" thickBot="1">
      <c r="A428" s="93" t="s">
        <v>104</v>
      </c>
      <c r="B428" s="86"/>
      <c r="C428" s="86"/>
      <c r="D428" s="94"/>
      <c r="E428" s="95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0"/>
      <c r="G429" s="66"/>
      <c r="I429" s="73"/>
    </row>
    <row r="430" spans="1:9" ht="12.75" customHeight="1">
      <c r="A430" s="96" t="s">
        <v>49</v>
      </c>
      <c r="B430" s="75"/>
      <c r="E430" s="90"/>
      <c r="G430" s="66"/>
      <c r="I430" s="73"/>
    </row>
    <row r="431" spans="1:9" ht="12.75" customHeight="1">
      <c r="A431" s="66"/>
      <c r="B431" s="4" t="s">
        <v>118</v>
      </c>
      <c r="E431" s="90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0"/>
      <c r="G432" s="66"/>
      <c r="I432" s="92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4"/>
      <c r="E433" s="95"/>
      <c r="F433" s="86"/>
      <c r="G433" s="89"/>
      <c r="H433" s="86"/>
      <c r="I433" s="97">
        <f>SUM(I431:I432)</f>
        <v>0</v>
      </c>
    </row>
    <row r="434" spans="1:9" ht="12.75" customHeight="1">
      <c r="A434" s="55"/>
      <c r="E434" s="98"/>
      <c r="G434" s="55"/>
      <c r="I434" s="73"/>
    </row>
    <row r="435" spans="1:9" ht="12.75" customHeight="1" thickBot="1">
      <c r="A435" s="4" t="s">
        <v>107</v>
      </c>
      <c r="E435" s="98"/>
      <c r="G435" s="55"/>
      <c r="I435" s="58">
        <f>SUM(I414:I433)/2</f>
        <v>0</v>
      </c>
    </row>
    <row r="436" spans="5:7" ht="12.75" customHeight="1">
      <c r="E436" s="98"/>
      <c r="G436" s="55"/>
    </row>
    <row r="437" ht="12.75" customHeight="1">
      <c r="G437" s="55"/>
    </row>
    <row r="438" spans="1:7" ht="12.75" customHeight="1">
      <c r="A438" s="101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March 2, 2009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January 31, 2010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2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4"/>
      <c r="E476" s="95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0"/>
      <c r="G477" s="66"/>
      <c r="I477" s="57"/>
    </row>
    <row r="478" spans="1:9" ht="12.75" customHeight="1">
      <c r="A478" s="91" t="s">
        <v>48</v>
      </c>
      <c r="B478" s="75"/>
      <c r="E478" s="90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Input'!$Z$34="Y"),"*"," ")</f>
        <v> </v>
      </c>
      <c r="E479" s="90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0"/>
      <c r="G480" s="66"/>
      <c r="I480" s="92">
        <f>ROUND(G480*E480,0)</f>
        <v>0</v>
      </c>
    </row>
    <row r="481" spans="1:9" ht="12.75" customHeight="1" thickBot="1">
      <c r="A481" s="93" t="s">
        <v>104</v>
      </c>
      <c r="B481" s="86"/>
      <c r="C481" s="86"/>
      <c r="D481" s="94"/>
      <c r="E481" s="95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0"/>
      <c r="G482" s="66"/>
      <c r="I482" s="73"/>
    </row>
    <row r="483" spans="1:9" ht="12.75" customHeight="1">
      <c r="A483" s="96" t="s">
        <v>49</v>
      </c>
      <c r="B483" s="75"/>
      <c r="E483" s="90"/>
      <c r="G483" s="66"/>
      <c r="I483" s="73"/>
    </row>
    <row r="484" spans="1:9" ht="12.75" customHeight="1">
      <c r="A484" s="66"/>
      <c r="B484" s="4" t="s">
        <v>118</v>
      </c>
      <c r="E484" s="90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0"/>
      <c r="G485" s="66"/>
      <c r="I485" s="92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4"/>
      <c r="E486" s="95"/>
      <c r="F486" s="86"/>
      <c r="G486" s="89"/>
      <c r="H486" s="86"/>
      <c r="I486" s="97">
        <f>SUM(I484:I485)</f>
        <v>0</v>
      </c>
    </row>
    <row r="487" spans="1:9" ht="12.75" customHeight="1">
      <c r="A487" s="55"/>
      <c r="E487" s="98"/>
      <c r="G487" s="55"/>
      <c r="I487" s="73"/>
    </row>
    <row r="488" spans="1:9" ht="12.75" customHeight="1" thickBot="1">
      <c r="A488" s="4" t="s">
        <v>107</v>
      </c>
      <c r="E488" s="98"/>
      <c r="G488" s="55"/>
      <c r="I488" s="58">
        <f>SUM(I467:I486)/2</f>
        <v>0</v>
      </c>
    </row>
    <row r="489" spans="5:7" ht="12.75" customHeight="1">
      <c r="E489" s="98"/>
      <c r="G489" s="55"/>
    </row>
    <row r="490" ht="12.75" customHeight="1">
      <c r="G490" s="55"/>
    </row>
    <row r="491" spans="1:7" ht="12.75" customHeight="1">
      <c r="A491" s="101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March 2, 2009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January 31, 2010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2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1862335</v>
      </c>
    </row>
    <row r="521" spans="1:9" ht="12.75" customHeight="1">
      <c r="A521" s="79"/>
      <c r="C521" s="15"/>
      <c r="E521" s="90"/>
      <c r="G521" s="66"/>
      <c r="I521" s="57"/>
    </row>
    <row r="522" spans="1:9" ht="12.75" customHeight="1">
      <c r="A522" s="66"/>
      <c r="C522" s="15"/>
      <c r="E522" s="90"/>
      <c r="G522" s="66"/>
      <c r="I522" s="57"/>
    </row>
    <row r="523" spans="1:9" ht="12.75" customHeight="1">
      <c r="A523" s="66"/>
      <c r="C523" s="15"/>
      <c r="E523" s="90"/>
      <c r="G523" s="66"/>
      <c r="I523" s="57"/>
    </row>
    <row r="524" spans="1:9" ht="12.75" customHeight="1">
      <c r="A524" s="66"/>
      <c r="C524" s="15"/>
      <c r="E524" s="90"/>
      <c r="G524" s="66"/>
      <c r="I524" s="57"/>
    </row>
    <row r="525" spans="1:9" ht="12.75" customHeight="1">
      <c r="A525" s="66"/>
      <c r="C525" s="15"/>
      <c r="E525" s="90"/>
      <c r="G525" s="66"/>
      <c r="I525" s="57"/>
    </row>
    <row r="526" spans="1:9" ht="12.75" customHeight="1">
      <c r="A526" s="66"/>
      <c r="C526" s="15"/>
      <c r="E526" s="90"/>
      <c r="G526" s="66"/>
      <c r="I526" s="57"/>
    </row>
    <row r="527" spans="1:9" ht="12.75" customHeight="1">
      <c r="A527" s="66"/>
      <c r="C527" s="15"/>
      <c r="E527" s="90"/>
      <c r="G527" s="66"/>
      <c r="I527" s="57"/>
    </row>
    <row r="528" spans="1:9" ht="12.75" customHeight="1">
      <c r="A528" s="66"/>
      <c r="C528" s="15"/>
      <c r="E528" s="90"/>
      <c r="G528" s="66"/>
      <c r="I528" s="92"/>
    </row>
    <row r="529" spans="1:9" ht="12.75" customHeight="1" thickBot="1">
      <c r="A529" s="89" t="s">
        <v>117</v>
      </c>
      <c r="B529" s="86"/>
      <c r="C529" s="86"/>
      <c r="D529" s="94"/>
      <c r="E529" s="95"/>
      <c r="F529" s="86"/>
      <c r="G529" s="89"/>
      <c r="H529" s="86"/>
      <c r="I529" s="58">
        <f>SUM(I520:I528)</f>
        <v>1862335</v>
      </c>
    </row>
    <row r="530" spans="1:9" ht="12.75" customHeight="1">
      <c r="A530" s="66"/>
      <c r="E530" s="90"/>
      <c r="G530" s="66"/>
      <c r="I530" s="57"/>
    </row>
    <row r="531" spans="1:9" ht="12.75" customHeight="1">
      <c r="A531" s="91" t="s">
        <v>48</v>
      </c>
      <c r="B531" s="75"/>
      <c r="E531" s="90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Input'!$Z$34="Y"),"*"," ")</f>
        <v> </v>
      </c>
      <c r="E532" s="90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0"/>
      <c r="G533" s="66"/>
      <c r="I533" s="92">
        <f>ROUND(G533*E533,0)</f>
        <v>0</v>
      </c>
    </row>
    <row r="534" spans="1:9" ht="12.75" customHeight="1" thickBot="1">
      <c r="A534" s="93" t="s">
        <v>104</v>
      </c>
      <c r="B534" s="86"/>
      <c r="C534" s="86"/>
      <c r="D534" s="94"/>
      <c r="E534" s="95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0"/>
      <c r="G535" s="66"/>
      <c r="I535" s="73"/>
    </row>
    <row r="536" spans="1:9" ht="12.75" customHeight="1">
      <c r="A536" s="96" t="s">
        <v>49</v>
      </c>
      <c r="B536" s="75"/>
      <c r="E536" s="90"/>
      <c r="G536" s="66"/>
      <c r="I536" s="73"/>
    </row>
    <row r="537" spans="1:9" ht="12.75" customHeight="1">
      <c r="A537" s="66"/>
      <c r="B537" s="4" t="s">
        <v>118</v>
      </c>
      <c r="E537" s="90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0"/>
      <c r="G538" s="66"/>
      <c r="I538" s="92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4"/>
      <c r="E539" s="95"/>
      <c r="F539" s="86"/>
      <c r="G539" s="89"/>
      <c r="H539" s="86"/>
      <c r="I539" s="97">
        <f>SUM(I537:I538)</f>
        <v>0</v>
      </c>
    </row>
    <row r="540" spans="1:9" ht="12.75" customHeight="1">
      <c r="A540" s="55"/>
      <c r="E540" s="98"/>
      <c r="G540" s="55"/>
      <c r="I540" s="73"/>
    </row>
    <row r="541" spans="1:9" ht="12.75" customHeight="1" thickBot="1">
      <c r="A541" s="4" t="s">
        <v>107</v>
      </c>
      <c r="E541" s="98"/>
      <c r="G541" s="55"/>
      <c r="I541" s="58">
        <f>SUM(I520:I539)/2</f>
        <v>1862335</v>
      </c>
    </row>
    <row r="542" spans="5:7" ht="12.75" customHeight="1">
      <c r="E542" s="98"/>
      <c r="G542" s="55"/>
    </row>
    <row r="543" ht="12.75" customHeight="1">
      <c r="G543" s="55"/>
    </row>
    <row r="544" spans="1:7" ht="12.75" customHeight="1">
      <c r="A544" s="101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March 2, 2009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January 31, 2010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2" t="str">
        <f>IF(ISBLANK('[1]Demand'!AA2937)," ",'[1]Demand'!AA2937)</f>
        <v>N/A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0"/>
      <c r="G574" s="66"/>
      <c r="I574" s="57"/>
    </row>
    <row r="575" spans="1:9" ht="12.75" customHeight="1">
      <c r="A575" s="66"/>
      <c r="C575" s="15"/>
      <c r="E575" s="90"/>
      <c r="G575" s="66"/>
      <c r="I575" s="57"/>
    </row>
    <row r="576" spans="1:9" ht="12.75" customHeight="1">
      <c r="A576" s="66"/>
      <c r="C576" s="15"/>
      <c r="E576" s="90"/>
      <c r="G576" s="66"/>
      <c r="I576" s="57"/>
    </row>
    <row r="577" spans="1:9" ht="12.75" customHeight="1">
      <c r="A577" s="66"/>
      <c r="C577" s="15"/>
      <c r="E577" s="90"/>
      <c r="G577" s="66"/>
      <c r="I577" s="57"/>
    </row>
    <row r="578" spans="1:9" ht="12.75" customHeight="1">
      <c r="A578" s="66"/>
      <c r="C578" s="15"/>
      <c r="E578" s="90"/>
      <c r="G578" s="66"/>
      <c r="I578" s="57"/>
    </row>
    <row r="579" spans="1:9" ht="12.75" customHeight="1">
      <c r="A579" s="66"/>
      <c r="C579" s="15"/>
      <c r="E579" s="90"/>
      <c r="G579" s="66"/>
      <c r="I579" s="57"/>
    </row>
    <row r="580" spans="1:9" ht="12.75" customHeight="1">
      <c r="A580" s="66"/>
      <c r="C580" s="15"/>
      <c r="E580" s="90"/>
      <c r="G580" s="66"/>
      <c r="I580" s="57"/>
    </row>
    <row r="581" spans="1:9" ht="12.75" customHeight="1">
      <c r="A581" s="66"/>
      <c r="C581" s="15"/>
      <c r="E581" s="90"/>
      <c r="G581" s="66"/>
      <c r="I581" s="92"/>
    </row>
    <row r="582" spans="1:9" ht="12.75" customHeight="1" thickBot="1">
      <c r="A582" s="89" t="s">
        <v>117</v>
      </c>
      <c r="B582" s="86"/>
      <c r="C582" s="86"/>
      <c r="D582" s="94"/>
      <c r="E582" s="95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0"/>
      <c r="G583" s="66"/>
      <c r="I583" s="57"/>
    </row>
    <row r="584" spans="1:9" ht="12.75" customHeight="1">
      <c r="A584" s="91" t="s">
        <v>48</v>
      </c>
      <c r="B584" s="75"/>
      <c r="E584" s="90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Input'!$Z$34="Y"),"*"," ")</f>
        <v>*</v>
      </c>
      <c r="E585" s="90">
        <f>'[1]Instruct &amp; Input'!Y32</f>
        <v>5.89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0"/>
      <c r="G586" s="66"/>
      <c r="I586" s="92">
        <f>ROUND(G586*E586,0)</f>
        <v>0</v>
      </c>
    </row>
    <row r="587" spans="1:9" ht="12.75" customHeight="1" thickBot="1">
      <c r="A587" s="93" t="s">
        <v>104</v>
      </c>
      <c r="B587" s="86"/>
      <c r="C587" s="86"/>
      <c r="D587" s="94"/>
      <c r="E587" s="95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0"/>
      <c r="G588" s="66"/>
      <c r="I588" s="73"/>
    </row>
    <row r="589" spans="1:9" ht="12.75" customHeight="1">
      <c r="A589" s="96" t="s">
        <v>49</v>
      </c>
      <c r="B589" s="75"/>
      <c r="E589" s="90"/>
      <c r="G589" s="66"/>
      <c r="I589" s="73"/>
    </row>
    <row r="590" spans="1:9" ht="12.75" customHeight="1">
      <c r="A590" s="66"/>
      <c r="B590" s="4" t="s">
        <v>118</v>
      </c>
      <c r="E590" s="90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0"/>
      <c r="G591" s="66"/>
      <c r="I591" s="92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4"/>
      <c r="E592" s="95"/>
      <c r="F592" s="86"/>
      <c r="G592" s="89"/>
      <c r="H592" s="86"/>
      <c r="I592" s="97">
        <f>SUM(I590:I591)</f>
        <v>0</v>
      </c>
    </row>
    <row r="593" spans="1:9" ht="12.75" customHeight="1">
      <c r="A593" s="55"/>
      <c r="E593" s="98"/>
      <c r="G593" s="55"/>
      <c r="I593" s="73"/>
    </row>
    <row r="594" spans="1:9" ht="12.75" customHeight="1" thickBot="1">
      <c r="A594" s="4" t="s">
        <v>107</v>
      </c>
      <c r="E594" s="98"/>
      <c r="G594" s="55"/>
      <c r="I594" s="58">
        <f>SUM(I573:I592)/2</f>
        <v>0</v>
      </c>
    </row>
    <row r="595" spans="5:7" ht="12.75" customHeight="1">
      <c r="E595" s="98"/>
      <c r="G595" s="55"/>
    </row>
    <row r="596" ht="12.75" customHeight="1">
      <c r="G596" s="55"/>
    </row>
    <row r="597" spans="1:7" ht="12.75" customHeight="1">
      <c r="A597" s="101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March 2, 2009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January 31, 2010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16063749</v>
      </c>
    </row>
    <row r="627" spans="1:9" ht="12.75" customHeight="1">
      <c r="A627" s="79"/>
      <c r="C627" s="15"/>
      <c r="E627" s="90"/>
      <c r="G627" s="66"/>
      <c r="I627" s="57"/>
    </row>
    <row r="628" spans="1:9" ht="12.75" customHeight="1">
      <c r="A628" s="66"/>
      <c r="C628" s="15"/>
      <c r="E628" s="90"/>
      <c r="G628" s="66"/>
      <c r="I628" s="57"/>
    </row>
    <row r="629" spans="1:9" ht="12.75" customHeight="1">
      <c r="A629" s="66"/>
      <c r="C629" s="15"/>
      <c r="E629" s="90"/>
      <c r="G629" s="66"/>
      <c r="I629" s="57"/>
    </row>
    <row r="630" spans="1:9" ht="12.75" customHeight="1">
      <c r="A630" s="66"/>
      <c r="C630" s="15"/>
      <c r="E630" s="90"/>
      <c r="G630" s="66"/>
      <c r="I630" s="57"/>
    </row>
    <row r="631" spans="1:9" ht="12.75" customHeight="1">
      <c r="A631" s="66"/>
      <c r="C631" s="15"/>
      <c r="E631" s="90"/>
      <c r="G631" s="66"/>
      <c r="I631" s="57"/>
    </row>
    <row r="632" spans="1:9" ht="12.75" customHeight="1">
      <c r="A632" s="66"/>
      <c r="C632" s="15"/>
      <c r="E632" s="90"/>
      <c r="G632" s="66"/>
      <c r="I632" s="57"/>
    </row>
    <row r="633" spans="1:9" ht="12.75" customHeight="1">
      <c r="A633" s="66"/>
      <c r="C633" s="15"/>
      <c r="E633" s="90"/>
      <c r="G633" s="66"/>
      <c r="I633" s="57"/>
    </row>
    <row r="634" spans="1:9" ht="12.75" customHeight="1">
      <c r="A634" s="66"/>
      <c r="C634" s="15"/>
      <c r="E634" s="90"/>
      <c r="G634" s="66"/>
      <c r="I634" s="92"/>
    </row>
    <row r="635" spans="1:9" ht="12.75" customHeight="1" thickBot="1">
      <c r="A635" s="89" t="s">
        <v>117</v>
      </c>
      <c r="B635" s="86"/>
      <c r="C635" s="86"/>
      <c r="D635" s="94"/>
      <c r="E635" s="95"/>
      <c r="F635" s="86"/>
      <c r="G635" s="89"/>
      <c r="H635" s="86"/>
      <c r="I635" s="58">
        <f>SUM(I626:I634)</f>
        <v>16063749</v>
      </c>
    </row>
    <row r="636" spans="1:9" ht="12.75" customHeight="1">
      <c r="A636" s="66"/>
      <c r="E636" s="90"/>
      <c r="G636" s="66"/>
      <c r="I636" s="57"/>
    </row>
    <row r="637" spans="1:9" ht="12.75" customHeight="1">
      <c r="A637" s="91" t="s">
        <v>48</v>
      </c>
      <c r="B637" s="75"/>
      <c r="E637" s="90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Input'!$Z$34="Y"),"*"," ")</f>
        <v> </v>
      </c>
      <c r="E638" s="90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0"/>
      <c r="G639" s="66"/>
      <c r="I639" s="92">
        <f>ROUND(G639*E639,0)</f>
        <v>0</v>
      </c>
    </row>
    <row r="640" spans="1:9" ht="12.75" customHeight="1" thickBot="1">
      <c r="A640" s="93" t="s">
        <v>104</v>
      </c>
      <c r="B640" s="86"/>
      <c r="C640" s="86"/>
      <c r="D640" s="94"/>
      <c r="E640" s="95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0"/>
      <c r="G641" s="66"/>
      <c r="I641" s="73"/>
    </row>
    <row r="642" spans="1:9" ht="12.75" customHeight="1">
      <c r="A642" s="96" t="s">
        <v>49</v>
      </c>
      <c r="B642" s="75"/>
      <c r="E642" s="90"/>
      <c r="G642" s="66"/>
      <c r="I642" s="73"/>
    </row>
    <row r="643" spans="1:9" ht="12.75" customHeight="1">
      <c r="A643" s="66"/>
      <c r="B643" s="4" t="s">
        <v>118</v>
      </c>
      <c r="E643" s="90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0"/>
      <c r="G644" s="66"/>
      <c r="I644" s="92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4"/>
      <c r="E645" s="95"/>
      <c r="F645" s="86"/>
      <c r="G645" s="89"/>
      <c r="H645" s="86"/>
      <c r="I645" s="97">
        <f>SUM(I643:I644)</f>
        <v>0</v>
      </c>
    </row>
    <row r="646" spans="1:9" ht="12.75" customHeight="1">
      <c r="A646" s="55"/>
      <c r="E646" s="98"/>
      <c r="G646" s="55"/>
      <c r="I646" s="73"/>
    </row>
    <row r="647" spans="1:9" ht="12.75" customHeight="1" thickBot="1">
      <c r="A647" s="4" t="s">
        <v>107</v>
      </c>
      <c r="E647" s="98"/>
      <c r="G647" s="55"/>
      <c r="I647" s="58">
        <f>SUM(I626:I645)/2</f>
        <v>16063749</v>
      </c>
    </row>
    <row r="648" spans="5:7" ht="12.75" customHeight="1">
      <c r="E648" s="98"/>
      <c r="G648" s="55"/>
    </row>
    <row r="649" ht="12.75" customHeight="1">
      <c r="G649" s="55"/>
    </row>
    <row r="650" spans="1:7" ht="12.75" customHeight="1">
      <c r="A650" s="101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">
      <selection activeCell="F23" sqref="F23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17.14062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March 2, 2009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January 31, 2010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18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19"/>
      <c r="B22" s="120" t="s">
        <v>138</v>
      </c>
      <c r="C22" s="120"/>
      <c r="D22" s="120"/>
      <c r="E22" s="120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1">
        <f>'[1]Instruct &amp; Input'!Y33</f>
        <v>5.9</v>
      </c>
      <c r="D25" s="122">
        <f>'[1]Volume Mix'!C45</f>
        <v>4855000</v>
      </c>
      <c r="E25" s="47">
        <f>ROUND(C25*D25,0)</f>
        <v>28644500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19"/>
      <c r="B30" s="120" t="s">
        <v>141</v>
      </c>
      <c r="C30" s="120"/>
      <c r="D30" s="120"/>
      <c r="E30" s="123">
        <f>SUM(E25:E29)</f>
        <v>28644500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19"/>
      <c r="B38" s="120" t="s">
        <v>143</v>
      </c>
      <c r="C38" s="120"/>
      <c r="D38" s="120"/>
      <c r="E38" s="120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1">
        <f>'[1]Instruct &amp; Input'!Y34</f>
        <v>7.24</v>
      </c>
      <c r="D41" s="122">
        <f>'[1]Volume Mix'!C46+'[1]Volume Mix'!C43</f>
        <v>42128000</v>
      </c>
      <c r="E41" s="47">
        <f>ROUND(C41*D41,0)</f>
        <v>305006720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19"/>
      <c r="B46" s="120" t="s">
        <v>146</v>
      </c>
      <c r="C46" s="120"/>
      <c r="D46" s="120"/>
      <c r="E46" s="123">
        <f>SUM(E41:E45)</f>
        <v>305006720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1">
      <selection activeCell="F23" sqref="F23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4" customFormat="1" ht="12.75" customHeight="1">
      <c r="A6" s="1" t="s">
        <v>149</v>
      </c>
      <c r="B6" s="1"/>
      <c r="C6" s="1"/>
      <c r="D6" s="1"/>
      <c r="E6" s="1"/>
    </row>
    <row r="7" spans="1:5" s="124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5" t="str">
        <f>'[1]Instruct &amp; Input'!C8</f>
        <v>January 31, 2010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6" t="s">
        <v>152</v>
      </c>
      <c r="E11" s="126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7" t="str">
        <f>'[1]Instruct &amp; Input'!C8</f>
        <v>January 31, 2010</v>
      </c>
      <c r="D13" s="80" t="s">
        <v>19</v>
      </c>
      <c r="E13" s="47">
        <f>('[1]Sales &amp; CHOICE Volumes'!B51)</f>
        <v>74372000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7" t="str">
        <f>'[1]Instruct &amp; Input'!C8</f>
        <v>January 31, 2010</v>
      </c>
      <c r="D15" s="80" t="s">
        <v>19</v>
      </c>
      <c r="E15" s="60">
        <f>E13</f>
        <v>74372000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28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E64</f>
        <v>-3741.2400000000002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-3741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-3741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29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-3947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7" t="str">
        <f>'[1]Instruct &amp; Input'!C8</f>
        <v>January 31, 2010</v>
      </c>
      <c r="D31" s="80" t="s">
        <v>19</v>
      </c>
      <c r="E31" s="130">
        <f>E13</f>
        <v>74372000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6" t="s">
        <v>8</v>
      </c>
      <c r="E33" s="129">
        <f>ROUND(E29/E31,4)</f>
        <v>-0.0001</v>
      </c>
    </row>
    <row r="34" spans="4:6" ht="12.75" customHeight="1">
      <c r="D34" s="67"/>
      <c r="E34" s="46"/>
      <c r="F34" s="46"/>
    </row>
    <row r="35" spans="1:6" s="124" customFormat="1" ht="12.75" customHeight="1">
      <c r="A35" s="1" t="s">
        <v>170</v>
      </c>
      <c r="B35" s="1"/>
      <c r="C35" s="1"/>
      <c r="D35" s="131"/>
      <c r="E35" s="131"/>
      <c r="F35" s="132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3">
        <f>'[1]Instruct &amp; Input'!E21</f>
        <v>39746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6"/>
      <c r="E40" s="126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>
        <f>IF('[1]Instruct &amp; Input'!Y5=0," ",'[1]Instruct &amp; Input'!Y5)</f>
        <v>-779.4800000000001</v>
      </c>
    </row>
    <row r="45" spans="1:5" ht="12.75" customHeight="1">
      <c r="A45" s="45"/>
      <c r="B45" s="47" t="str">
        <f>IF('[1]Instruct &amp; Input'!V6=0," ",'[1]Instruct &amp; Input'!V6)</f>
        <v>TRUNKLINE PIPELINE</v>
      </c>
      <c r="D45" s="80"/>
      <c r="E45" s="47">
        <f>IF('[1]Instruct &amp; Input'!Y6=0," ",'[1]Instruct &amp; Input'!Y6)</f>
        <v>-2683.9</v>
      </c>
    </row>
    <row r="46" spans="1:5" ht="12.75" customHeight="1">
      <c r="A46" s="45"/>
      <c r="B46" s="47" t="str">
        <f>IF('[1]Instruct &amp; Input'!V7=0," ",'[1]Instruct &amp; Input'!V7)</f>
        <v>PANHANDLE EASTERN PIPELINE COMPANY</v>
      </c>
      <c r="D46" s="80"/>
      <c r="E46" s="47">
        <f>IF('[1]Instruct &amp; Input'!Y7=0," ",'[1]Instruct &amp; Input'!Y7)</f>
        <v>-277.86</v>
      </c>
    </row>
    <row r="47" spans="1:5" ht="12.75" customHeight="1">
      <c r="A47" s="45"/>
      <c r="B47" s="47" t="str">
        <f>IF('[1]Instruct &amp; Input'!V8=0," ",'[1]Instruct &amp; Input'!V8)</f>
        <v>TRUNKLINE PIPELINE</v>
      </c>
      <c r="D47" s="80"/>
      <c r="E47" s="47" t="str">
        <f>IF('[1]Instruct &amp; Input'!Y8=0," ",'[1]Instruct &amp; Input'!Y8)</f>
        <v> </v>
      </c>
    </row>
    <row r="48" spans="1:5" ht="12.75" customHeight="1">
      <c r="A48" s="45"/>
      <c r="B48" s="47" t="str">
        <f>IF('[1]Instruct &amp; Input'!V9=0," ",'[1]Instruct &amp; Input'!V9)</f>
        <v>PANHANDLE EASTERN PIPELINE COMPANY</v>
      </c>
      <c r="D48" s="80"/>
      <c r="E48" s="47" t="str">
        <f>IF('[1]Instruct &amp; Input'!Y9=0," ",'[1]Instruct &amp; Input'!Y9)</f>
        <v> </v>
      </c>
    </row>
    <row r="49" spans="1:5" ht="12.75" customHeight="1">
      <c r="A49" s="45"/>
      <c r="B49" s="47" t="str">
        <f>IF('[1]Instruct &amp; Input'!V10=0," ",'[1]Instruct &amp; Input'!V10)</f>
        <v>TENNESSEE GAS PIPELINE COMPANY</v>
      </c>
      <c r="D49" s="80"/>
      <c r="E49" s="47" t="str">
        <f>IF('[1]Instruct &amp; Input'!Y10=0," ",'[1]Instruct &amp; Input'!Y10)</f>
        <v> </v>
      </c>
    </row>
    <row r="50" spans="1:5" ht="12.75" customHeight="1">
      <c r="A50" s="45"/>
      <c r="B50" s="47" t="str">
        <f>IF('[1]Instruct &amp; Input'!V11=0," ",'[1]Instruct &amp; Input'!V11)</f>
        <v>COLUMBIA GAS TRANSMISSION CORPORATION</v>
      </c>
      <c r="D50" s="80"/>
      <c r="E50" s="47" t="str">
        <f>IF('[1]Instruct &amp; Input'!Y11=0," ",'[1]Instruct &amp; Input'!Y11)</f>
        <v> 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PANHANDLE EASTERN PIPELINE COMPANY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PANHANDLE EASTERN PIPELINE COMPANY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PANHANDLE EASTERN PIPELINE COMPANY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PANHANDLE EASTERN PIPELINE COMPANY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PANHANDLE EASTERN PIPELINE COMPANY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PANHANDLE EASTERN PIPELINE COMPANY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PANHANDLE EASTERN PIPELINE COMPANY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COLUMBIA GULF TRANSMISSION COMPANY</v>
      </c>
      <c r="D59" s="80"/>
      <c r="E59" s="47" t="str">
        <f>IF('[1]Instruct &amp; Input'!Y20=0," ",'[1]Instruct &amp; Input'!Y20)</f>
        <v> </v>
      </c>
    </row>
    <row r="60" spans="1:5" ht="12.75" customHeight="1">
      <c r="A60" s="45"/>
      <c r="B60" s="47" t="str">
        <f>IF('[1]Instruct &amp; Input'!V21=0," ",'[1]Instruct &amp; Input'!V21)</f>
        <v>COLUMBIA GAS TRANSMISSION CORPORATION</v>
      </c>
      <c r="D60" s="80"/>
      <c r="E60" s="47" t="str">
        <f>IF('[1]Instruct &amp; Input'!Y21=0," ",'[1]Instruct &amp; Input'!Y21)</f>
        <v> </v>
      </c>
    </row>
    <row r="61" spans="1:5" ht="12.75" customHeight="1">
      <c r="A61" s="45"/>
      <c r="B61" s="47" t="str">
        <f>IF('[1]Instruct &amp; Input'!V22=0," ",'[1]Instruct &amp; Input'!V22)</f>
        <v>COLUMBIA GAS TRANSMISSION CORPORATION</v>
      </c>
      <c r="D61" s="80"/>
      <c r="E61" s="47" t="str">
        <f>IF('[1]Instruct &amp; Input'!Y22=0," ",'[1]Instruct &amp; Input'!Y22)</f>
        <v> </v>
      </c>
    </row>
    <row r="62" spans="1:5" ht="12.75" customHeight="1">
      <c r="A62" s="45"/>
      <c r="B62" s="47" t="str">
        <f>IF('[1]Instruct &amp; Input'!V23=0," ",'[1]Instruct &amp; Input'!V23)</f>
        <v>COLUMBIA GAS TRANSMISSION CORPORATION</v>
      </c>
      <c r="D62" s="80"/>
      <c r="E62" s="47" t="str">
        <f>IF('[1]Instruct &amp; Input'!Y23=0," ",'[1]Instruct &amp; Input'!Y23)</f>
        <v> </v>
      </c>
    </row>
    <row r="63" spans="1:5" ht="12.75" customHeight="1">
      <c r="A63" s="45"/>
      <c r="B63" s="47" t="str">
        <f>IF('[1]Instruct &amp; Input'!V26=0," ",'[1]Instruct &amp; Input'!V26)</f>
        <v> </v>
      </c>
      <c r="D63" s="80"/>
      <c r="E63" s="134" t="str">
        <f>IF('[1]Instruct &amp; Input'!Y26=0," ",'[1]Instruct &amp; Input'!Y26)</f>
        <v> </v>
      </c>
    </row>
    <row r="64" spans="1:5" ht="12.75" customHeight="1">
      <c r="A64" s="45"/>
      <c r="B64" s="4" t="s">
        <v>174</v>
      </c>
      <c r="D64" s="80"/>
      <c r="E64" s="60">
        <f>SUM(E43:E63)</f>
        <v>-3741.2400000000002</v>
      </c>
    </row>
    <row r="65" spans="1:5" ht="12.75" customHeight="1">
      <c r="A65" s="45"/>
      <c r="D65" s="80"/>
      <c r="E65" s="47"/>
    </row>
    <row r="66" spans="1:5" ht="12.75" customHeight="1">
      <c r="A66" s="45" t="s">
        <v>175</v>
      </c>
      <c r="D66" s="80"/>
      <c r="E66" s="47"/>
    </row>
    <row r="67" spans="1:5" ht="12.75" customHeight="1">
      <c r="A67" s="45"/>
      <c r="D67" s="80"/>
      <c r="E67" s="60"/>
    </row>
    <row r="68" spans="1:5" ht="12.75" customHeight="1">
      <c r="A68" s="40"/>
      <c r="B68" s="8" t="s">
        <v>176</v>
      </c>
      <c r="C68" s="8"/>
      <c r="D68" s="126"/>
      <c r="E68" s="60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1">
      <selection activeCell="F23" sqref="F23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5">
        <f>'[1]Instruct &amp; Input'!E20</f>
        <v>39746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5" t="s">
        <v>181</v>
      </c>
    </row>
    <row r="11" spans="1:8" ht="12.75" customHeight="1">
      <c r="A11" s="45"/>
      <c r="C11" s="42"/>
      <c r="D11" s="136">
        <f>E8-56</f>
        <v>39690</v>
      </c>
      <c r="E11" s="136">
        <f>E8-26</f>
        <v>39720</v>
      </c>
      <c r="F11" s="136">
        <f>E8+5</f>
        <v>39751</v>
      </c>
      <c r="H11" s="137">
        <f>F11-90</f>
        <v>39661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2">
        <f>VLOOKUP(D11,ACTUALS,3)</f>
        <v>73203</v>
      </c>
      <c r="E13" s="122">
        <f>VLOOKUP(E11,ACTUALS,3)</f>
        <v>296891</v>
      </c>
      <c r="F13" s="122">
        <f>VLOOKUP(F11,ACTUALS,3)</f>
        <v>4832639</v>
      </c>
    </row>
    <row r="14" spans="1:6" ht="12.75" customHeight="1">
      <c r="A14" s="45"/>
      <c r="B14" s="4" t="s">
        <v>183</v>
      </c>
      <c r="C14" s="80" t="s">
        <v>19</v>
      </c>
      <c r="D14" s="122"/>
      <c r="E14" s="122"/>
      <c r="F14" s="122"/>
    </row>
    <row r="15" spans="1:6" ht="12.75" customHeight="1">
      <c r="A15" s="45"/>
      <c r="B15" s="4" t="s">
        <v>184</v>
      </c>
      <c r="C15" s="80" t="s">
        <v>19</v>
      </c>
      <c r="D15" s="138"/>
      <c r="E15" s="138"/>
      <c r="F15" s="138"/>
    </row>
    <row r="16" spans="1:6" ht="12.75" customHeight="1">
      <c r="A16" s="45" t="s">
        <v>185</v>
      </c>
      <c r="C16" s="80" t="s">
        <v>19</v>
      </c>
      <c r="D16" s="139">
        <f>SUM(D13:D15)</f>
        <v>73203</v>
      </c>
      <c r="E16" s="139">
        <f>SUM(E13:E15)</f>
        <v>296891</v>
      </c>
      <c r="F16" s="139">
        <f>SUM(F13:F15)</f>
        <v>4832639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2">
        <f>VLOOKUP(D11,ACTUALS,2)</f>
        <v>-2703854.96</v>
      </c>
      <c r="E19" s="122">
        <f>VLOOKUP(E11,ACTUALS,2)</f>
        <v>5108496.68</v>
      </c>
      <c r="F19" s="122">
        <f>VLOOKUP(F11,ACTUALS,2)</f>
        <v>42591414.73</v>
      </c>
      <c r="H19" s="135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2">
        <f>VLOOKUP(D11,TABLE242,16)</f>
        <v>-65774.13</v>
      </c>
      <c r="E20" s="122">
        <f>VLOOKUP(E11,TABLE242,16)</f>
        <v>-67772.64</v>
      </c>
      <c r="F20" s="122">
        <f>VLOOKUP(F11,TABLE242,16)</f>
        <v>-69870.25</v>
      </c>
      <c r="G20" s="140" t="s">
        <v>189</v>
      </c>
      <c r="H20" s="55">
        <f>(VLOOKUP(H11,TABLE242,8)-VLOOKUP(F11,TABLE242,8))+SUM(D20:F20)</f>
        <v>-203417.02000000002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2">
        <f>VLOOKUP(D11,TABLE242,10)</f>
        <v>-16643.09</v>
      </c>
      <c r="E21" s="122">
        <f>VLOOKUP(E11,TABLE242,10)</f>
        <v>-13668.11</v>
      </c>
      <c r="F21" s="122">
        <f>VLOOKUP(F11,TABLE242,10)</f>
        <v>-15325.36</v>
      </c>
      <c r="G21" s="140" t="s">
        <v>189</v>
      </c>
      <c r="H21" s="55">
        <f>(VLOOKUP(H11,TABLE242,2)-VLOOKUP(F11,TABLE242,2))+SUM(D21:F21)</f>
        <v>-45636.56</v>
      </c>
    </row>
    <row r="22" spans="1:8" ht="12.75" customHeight="1">
      <c r="A22" s="45"/>
      <c r="B22" s="4" t="s">
        <v>192</v>
      </c>
      <c r="C22" s="80" t="s">
        <v>17</v>
      </c>
      <c r="D22" s="122">
        <f>VLOOKUP(D11,TABLE242,11)+VLOOKUP(D11,TABLE242,15)</f>
        <v>0</v>
      </c>
      <c r="E22" s="122">
        <f>VLOOKUP(E11,TABLE242,11)+VLOOKUP(E11,TABLE242,15)</f>
        <v>0</v>
      </c>
      <c r="F22" s="122">
        <f>VLOOKUP(F11,TABLE242,11)+VLOOKUP(F11,TABLE242,15)</f>
        <v>0</v>
      </c>
      <c r="G22" s="140" t="s">
        <v>189</v>
      </c>
      <c r="H22" s="55">
        <f>((VLOOKUP(H11,TABLE242,3)-VLOOKUP(F11,TABLE242,3))+SUM(D22:F22))+(VLOOKUP(H11,TABLE242,7)-VLOOKUP(F11,TABLE242,7))</f>
        <v>0</v>
      </c>
    </row>
    <row r="23" spans="1:8" ht="12.75" customHeight="1">
      <c r="A23" s="45"/>
      <c r="B23" s="4" t="s">
        <v>193</v>
      </c>
      <c r="C23" s="80" t="s">
        <v>17</v>
      </c>
      <c r="D23" s="122">
        <f>VLOOKUP(D11,TABLE242,12)</f>
        <v>-8111.95</v>
      </c>
      <c r="E23" s="122">
        <f>VLOOKUP(E11,TABLE242,12)</f>
        <v>-38502.91</v>
      </c>
      <c r="F23" s="122">
        <f>VLOOKUP(F11,TABLE242,12)</f>
        <v>-945.07</v>
      </c>
      <c r="G23" s="140" t="s">
        <v>189</v>
      </c>
      <c r="H23" s="55">
        <f>(VLOOKUP(H11,TABLE242,4)-VLOOKUP(F11,TABLE242,4))+SUM(D23:F23)</f>
        <v>-47559.93</v>
      </c>
    </row>
    <row r="24" spans="1:8" ht="12.75" customHeight="1">
      <c r="A24" s="45"/>
      <c r="B24" s="4" t="s">
        <v>194</v>
      </c>
      <c r="C24" s="80" t="s">
        <v>17</v>
      </c>
      <c r="D24" s="122">
        <f>VLOOKUP(D11,TABLE242,13)</f>
        <v>-12266.09</v>
      </c>
      <c r="E24" s="122">
        <f>VLOOKUP(E11,TABLE242,13)</f>
        <v>-11421.39</v>
      </c>
      <c r="F24" s="122">
        <f>VLOOKUP(F11,TABLE242,13)</f>
        <v>-11425.85</v>
      </c>
      <c r="G24" s="140" t="s">
        <v>189</v>
      </c>
      <c r="H24" s="55">
        <f>(VLOOKUP(H11,TABLE242,5)-VLOOKUP(F11,TABLE242,5))+SUM(D24:F24)</f>
        <v>-35113.33</v>
      </c>
    </row>
    <row r="25" spans="1:8" ht="12.75" customHeight="1">
      <c r="A25" s="45"/>
      <c r="B25" s="4" t="s">
        <v>195</v>
      </c>
      <c r="C25" s="80" t="s">
        <v>17</v>
      </c>
      <c r="D25" s="122">
        <f>VLOOKUP(D11,TABLE242,14)</f>
        <v>0</v>
      </c>
      <c r="E25" s="122">
        <f>VLOOKUP(E11,TABLE242,14)</f>
        <v>0</v>
      </c>
      <c r="F25" s="122">
        <f>VLOOKUP(F11,TABLE242,14)</f>
        <v>0</v>
      </c>
      <c r="G25" s="140" t="s">
        <v>189</v>
      </c>
      <c r="H25" s="55">
        <f>(VLOOKUP(H11,TABLE242,6)-VLOOKUP(F11,TABLE242,6))+SUM(D25:F25)</f>
        <v>0</v>
      </c>
    </row>
    <row r="26" spans="1:8" ht="12.75" customHeight="1">
      <c r="A26" s="45"/>
      <c r="B26" s="4" t="s">
        <v>196</v>
      </c>
      <c r="C26" s="80" t="s">
        <v>17</v>
      </c>
      <c r="D26" s="138">
        <v>0</v>
      </c>
      <c r="E26" s="138">
        <v>0</v>
      </c>
      <c r="F26" s="138">
        <v>0</v>
      </c>
      <c r="G26" s="140"/>
      <c r="H26" s="55"/>
    </row>
    <row r="27" spans="1:6" ht="12.75" customHeight="1">
      <c r="A27" s="45" t="s">
        <v>197</v>
      </c>
      <c r="C27" s="80" t="s">
        <v>17</v>
      </c>
      <c r="D27" s="139">
        <f>SUM(D19:D26)</f>
        <v>-2806650.2199999997</v>
      </c>
      <c r="E27" s="139">
        <f>SUM(E19:E26)</f>
        <v>4977131.63</v>
      </c>
      <c r="F27" s="139">
        <f>SUM(F19:F26)</f>
        <v>42493848.199999996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1416825</v>
      </c>
      <c r="E28" s="47">
        <f>'[1]Sales &amp; CHOICE Volumes'!B25+'[1]Sales &amp; CHOICE Volumes'!D25</f>
        <v>1465882</v>
      </c>
      <c r="F28" s="47">
        <f>'[1]Sales &amp; CHOICE Volumes'!B26+'[1]Sales &amp; CHOICE Volumes'!D26</f>
        <v>2147925</v>
      </c>
    </row>
    <row r="29" spans="1:6" ht="12.75" customHeight="1">
      <c r="A29" s="45" t="s">
        <v>199</v>
      </c>
      <c r="C29" s="80" t="s">
        <v>8</v>
      </c>
      <c r="D29" s="141">
        <f>ROUND(D27/D28,4)</f>
        <v>-1.9809</v>
      </c>
      <c r="E29" s="141">
        <f>ROUND(E27/E28,4)</f>
        <v>3.3953</v>
      </c>
      <c r="F29" s="141">
        <f>ROUND(F27/F28,4)</f>
        <v>19.7837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42">
        <v>14.1925</v>
      </c>
      <c r="E32" s="142">
        <v>11.553</v>
      </c>
      <c r="F32" s="142">
        <v>10.9077</v>
      </c>
    </row>
    <row r="33" spans="1:6" ht="12.75" customHeight="1">
      <c r="A33" s="45"/>
      <c r="B33" s="4" t="s">
        <v>202</v>
      </c>
      <c r="C33" s="80" t="s">
        <v>19</v>
      </c>
      <c r="D33" s="143">
        <f>VLOOKUP(D11,ADJUSTTABLE,2)</f>
        <v>1255253.5</v>
      </c>
      <c r="E33" s="143">
        <f>VLOOKUP(E11,ADJUSTTABLE,2)</f>
        <v>1319594</v>
      </c>
      <c r="F33" s="143">
        <f>VLOOKUP(F11,ADJUSTTABLE,2)</f>
        <v>1911247.6</v>
      </c>
    </row>
    <row r="34" spans="1:6" ht="12.75" customHeight="1">
      <c r="A34" s="45"/>
      <c r="B34" s="4" t="s">
        <v>203</v>
      </c>
      <c r="C34" s="80" t="s">
        <v>17</v>
      </c>
      <c r="D34" s="47">
        <f>ROUND(D32*D33,0)</f>
        <v>17815185</v>
      </c>
      <c r="E34" s="47">
        <f>ROUND(E32*E33,0)</f>
        <v>15245269</v>
      </c>
      <c r="F34" s="47">
        <f>ROUND(F32*F33,0)</f>
        <v>20847315</v>
      </c>
    </row>
    <row r="35" spans="1:6" ht="12.75" customHeight="1">
      <c r="A35" s="45"/>
      <c r="C35" s="80"/>
      <c r="D35" s="42"/>
      <c r="E35" s="42"/>
      <c r="F35" s="42"/>
    </row>
    <row r="36" spans="1:7" ht="12.75" customHeight="1">
      <c r="A36" s="45"/>
      <c r="B36" s="4" t="s">
        <v>204</v>
      </c>
      <c r="C36" s="80" t="s">
        <v>8</v>
      </c>
      <c r="D36" s="142">
        <f>D32+'[1]Summ Work'!D9</f>
        <v>14.1324</v>
      </c>
      <c r="E36" s="142">
        <f>E32+'[1]Summ Work'!D9</f>
        <v>11.4929</v>
      </c>
      <c r="F36" s="142">
        <f>F32+'[1]Summ Work'!D9</f>
        <v>10.8476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3">
        <f>VLOOKUP(D11,PIPTABLE,2)</f>
        <v>161571.5</v>
      </c>
      <c r="E37" s="143">
        <f>VLOOKUP(E11,PIPTABLE,2)</f>
        <v>146288</v>
      </c>
      <c r="F37" s="143">
        <f>VLOOKUP(F11,PIPTABLE,2)</f>
        <v>236677.4</v>
      </c>
      <c r="G37" s="4" t="s">
        <v>207</v>
      </c>
    </row>
    <row r="38" spans="1:6" ht="12.75" customHeight="1">
      <c r="A38" s="45"/>
      <c r="B38" s="4" t="s">
        <v>208</v>
      </c>
      <c r="C38" s="80" t="s">
        <v>17</v>
      </c>
      <c r="D38" s="60">
        <f>ROUND(D37*D36,0)</f>
        <v>2283393</v>
      </c>
      <c r="E38" s="60">
        <f>ROUND(E37*E36,0)</f>
        <v>1681273</v>
      </c>
      <c r="F38" s="60">
        <f>ROUND(F37*F36,0)</f>
        <v>2567382</v>
      </c>
    </row>
    <row r="39" spans="1:6" ht="12.75" customHeight="1">
      <c r="A39" s="45"/>
      <c r="C39" s="80"/>
      <c r="D39" s="47"/>
      <c r="E39" s="47"/>
      <c r="F39" s="47"/>
    </row>
    <row r="40" spans="1:6" ht="12.75" customHeight="1">
      <c r="A40" s="45" t="s">
        <v>209</v>
      </c>
      <c r="C40" s="80" t="s">
        <v>17</v>
      </c>
      <c r="D40" s="144">
        <f>SUM(D38+D34)</f>
        <v>20098578</v>
      </c>
      <c r="E40" s="144">
        <f>SUM(E38+E34)</f>
        <v>16926542</v>
      </c>
      <c r="F40" s="144">
        <f>SUM(F38+F34)</f>
        <v>23414697</v>
      </c>
    </row>
    <row r="41" spans="1:6" ht="12.75" customHeight="1">
      <c r="A41" s="45"/>
      <c r="C41" s="80"/>
      <c r="D41" s="42"/>
      <c r="E41" s="42"/>
      <c r="F41" s="42"/>
    </row>
    <row r="42" spans="1:6" ht="12.75" customHeight="1">
      <c r="A42" s="45" t="s">
        <v>210</v>
      </c>
      <c r="C42" s="80" t="s">
        <v>17</v>
      </c>
      <c r="D42" s="144">
        <f>SUM(D27-D40)</f>
        <v>-22905228.22</v>
      </c>
      <c r="E42" s="144">
        <f>SUM(E27-E40)</f>
        <v>-11949410.370000001</v>
      </c>
      <c r="F42" s="144">
        <f>SUM(F27-F40)</f>
        <v>19079151.199999996</v>
      </c>
    </row>
    <row r="43" spans="1:6" ht="12.75" customHeight="1">
      <c r="A43" s="45" t="s">
        <v>211</v>
      </c>
      <c r="C43" s="67"/>
      <c r="D43" s="145"/>
      <c r="E43" s="145"/>
      <c r="F43" s="144">
        <f>197419.36+352274.35+125171.64</f>
        <v>674865.35</v>
      </c>
    </row>
    <row r="44" spans="1:6" ht="12.75" customHeight="1">
      <c r="A44" s="146" t="s">
        <v>212</v>
      </c>
      <c r="B44" s="8"/>
      <c r="C44" s="12" t="s">
        <v>17</v>
      </c>
      <c r="D44" s="8"/>
      <c r="E44" s="8"/>
      <c r="F44" s="139">
        <f>'Sched 4 File'!E49</f>
        <v>-2556598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6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213</v>
      </c>
      <c r="E47" s="15" t="s">
        <v>17</v>
      </c>
      <c r="F47" s="144">
        <f>SUM(D42:F42)+F44+F43</f>
        <v>-17657220.040000007</v>
      </c>
    </row>
    <row r="48" spans="1:7" ht="12.75" customHeight="1">
      <c r="A48" s="45"/>
      <c r="C48" s="32" t="s">
        <v>214</v>
      </c>
      <c r="D48" s="125" t="str">
        <f>'[1]Instruct &amp; Input'!C8</f>
        <v>January 31, 2010</v>
      </c>
      <c r="E48" s="15" t="s">
        <v>19</v>
      </c>
      <c r="F48" s="139">
        <f>'Sched 2 File'!E15</f>
        <v>74372000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215</v>
      </c>
      <c r="B50" s="8"/>
      <c r="C50" s="8"/>
      <c r="D50" s="8"/>
      <c r="E50" s="12" t="s">
        <v>8</v>
      </c>
      <c r="F50" s="141">
        <f>ROUND(F47/F48,4)</f>
        <v>-0.2374</v>
      </c>
      <c r="G50" s="4" t="s">
        <v>158</v>
      </c>
    </row>
    <row r="51" ht="12.75" customHeight="1">
      <c r="G51" s="4" t="s">
        <v>216</v>
      </c>
    </row>
    <row r="52" ht="12.75" customHeight="1">
      <c r="A52" s="147"/>
    </row>
    <row r="59" ht="12.75" customHeight="1">
      <c r="A59" s="147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E16">
      <selection activeCell="F23" sqref="F23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8" t="s">
        <v>217</v>
      </c>
      <c r="K1" s="32" t="s">
        <v>217</v>
      </c>
      <c r="Q1" s="32" t="s">
        <v>217</v>
      </c>
      <c r="W1" s="32" t="s">
        <v>217</v>
      </c>
    </row>
    <row r="2" spans="2:23" ht="12.75" customHeight="1">
      <c r="B2" s="1" t="s">
        <v>178</v>
      </c>
      <c r="C2" s="1"/>
      <c r="D2" s="2"/>
      <c r="E2" s="102"/>
      <c r="K2" s="32" t="s">
        <v>218</v>
      </c>
      <c r="Q2" s="32" t="s">
        <v>219</v>
      </c>
      <c r="W2" s="32" t="s">
        <v>220</v>
      </c>
    </row>
    <row r="3" spans="2:23" ht="12.75" customHeight="1">
      <c r="B3" s="1"/>
      <c r="C3" s="1"/>
      <c r="D3" s="2"/>
      <c r="E3" s="102"/>
      <c r="F3" s="1" t="s">
        <v>1</v>
      </c>
      <c r="G3" s="1"/>
      <c r="H3" s="1"/>
      <c r="I3" s="1"/>
      <c r="J3" s="1"/>
      <c r="K3" s="1"/>
      <c r="L3" s="149" t="s">
        <v>1</v>
      </c>
      <c r="M3" s="149"/>
      <c r="N3" s="149"/>
      <c r="O3" s="149"/>
      <c r="P3" s="149"/>
      <c r="Q3" s="149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3" ht="12.75" customHeight="1">
      <c r="B5" s="1"/>
      <c r="C5" s="1"/>
      <c r="D5" s="2"/>
      <c r="E5" s="102"/>
      <c r="F5" s="1" t="s">
        <v>221</v>
      </c>
      <c r="G5" s="1"/>
      <c r="H5" s="1"/>
      <c r="I5" s="1"/>
      <c r="J5" s="1"/>
      <c r="K5" s="1"/>
      <c r="L5" s="1" t="s">
        <v>221</v>
      </c>
      <c r="M5" s="1"/>
      <c r="N5" s="1"/>
      <c r="O5" s="1"/>
      <c r="P5" s="1"/>
      <c r="Q5" s="1"/>
      <c r="R5" s="1" t="s">
        <v>221</v>
      </c>
      <c r="S5" s="1"/>
      <c r="T5" s="1"/>
      <c r="U5" s="1"/>
      <c r="V5" s="1"/>
      <c r="W5" s="1"/>
    </row>
    <row r="6" spans="2:23" ht="12.75" customHeight="1">
      <c r="B6" s="1" t="s">
        <v>222</v>
      </c>
      <c r="C6" s="1"/>
      <c r="D6" s="2"/>
      <c r="E6" s="10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3" ht="12.75" customHeight="1">
      <c r="B7" s="2"/>
      <c r="C7" s="2"/>
      <c r="D7" s="2"/>
      <c r="E7" s="102"/>
      <c r="F7" s="1" t="s">
        <v>223</v>
      </c>
      <c r="G7" s="1"/>
      <c r="H7" s="1"/>
      <c r="I7" s="1"/>
      <c r="J7" s="1"/>
      <c r="K7" s="1"/>
      <c r="L7" s="1" t="s">
        <v>224</v>
      </c>
      <c r="M7" s="1"/>
      <c r="N7" s="1"/>
      <c r="O7" s="1"/>
      <c r="P7" s="1"/>
      <c r="Q7" s="1"/>
      <c r="R7" s="1" t="s">
        <v>225</v>
      </c>
      <c r="S7" s="1"/>
      <c r="T7" s="1"/>
      <c r="U7" s="1"/>
      <c r="V7" s="1"/>
      <c r="W7" s="1"/>
    </row>
    <row r="8" spans="2:3" ht="12.75" customHeight="1">
      <c r="B8" s="32" t="s">
        <v>226</v>
      </c>
      <c r="C8" s="12" t="str">
        <f>'[1]Instruct &amp; Input'!C8</f>
        <v>January 31, 2010</v>
      </c>
    </row>
    <row r="9" spans="1:20" ht="12.75" customHeight="1">
      <c r="A9" s="8"/>
      <c r="B9" s="8"/>
      <c r="C9" s="8"/>
      <c r="D9" s="8"/>
      <c r="E9" s="59"/>
      <c r="G9" s="32" t="s">
        <v>227</v>
      </c>
      <c r="H9" s="2"/>
      <c r="M9" s="29" t="s">
        <v>228</v>
      </c>
      <c r="N9" s="2"/>
      <c r="S9" s="29" t="s">
        <v>229</v>
      </c>
      <c r="T9" s="2"/>
    </row>
    <row r="10" spans="1:23" ht="12.75" customHeight="1">
      <c r="A10" s="150"/>
      <c r="B10" s="12" t="s">
        <v>3</v>
      </c>
      <c r="C10" s="12"/>
      <c r="D10" s="12" t="s">
        <v>152</v>
      </c>
      <c r="E10" s="151" t="s">
        <v>153</v>
      </c>
      <c r="G10" s="32" t="s">
        <v>230</v>
      </c>
      <c r="H10" s="125">
        <f>'[1]Instruct &amp; Input'!C20</f>
        <v>39416</v>
      </c>
      <c r="I10" s="15" t="s">
        <v>231</v>
      </c>
      <c r="J10" s="125">
        <f>'[1]Instruct &amp; Input'!E20</f>
        <v>39746</v>
      </c>
      <c r="K10" s="152">
        <f>VLOOKUP(H10,raaabatable,6)</f>
        <v>-68154398</v>
      </c>
      <c r="M10" s="32" t="s">
        <v>230</v>
      </c>
      <c r="N10" s="125">
        <f>'[1]Instruct &amp; Input'!C20</f>
        <v>39416</v>
      </c>
      <c r="O10" s="15" t="s">
        <v>231</v>
      </c>
      <c r="P10" s="125">
        <f>L39</f>
        <v>39750</v>
      </c>
      <c r="Q10" s="152">
        <f>VLOOKUP(N10,raaabatable,5)</f>
        <v>-1115</v>
      </c>
      <c r="S10" s="32" t="s">
        <v>230</v>
      </c>
      <c r="T10" s="125">
        <f>'[1]Instruct &amp; Input'!C22</f>
        <v>39686</v>
      </c>
      <c r="U10" s="15" t="s">
        <v>231</v>
      </c>
      <c r="V10" s="125">
        <f>R21</f>
        <v>39750</v>
      </c>
      <c r="W10" s="152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232</v>
      </c>
      <c r="D12" s="42"/>
      <c r="E12" s="47"/>
      <c r="F12" s="15"/>
      <c r="G12" s="15"/>
      <c r="H12" s="15" t="s">
        <v>233</v>
      </c>
      <c r="I12" s="15"/>
      <c r="J12" s="15" t="s">
        <v>234</v>
      </c>
      <c r="K12" s="15"/>
      <c r="L12" s="15"/>
      <c r="M12" s="15"/>
      <c r="N12" s="15" t="s">
        <v>233</v>
      </c>
      <c r="O12" s="15"/>
      <c r="P12" s="15" t="s">
        <v>234</v>
      </c>
      <c r="Q12" s="15"/>
      <c r="R12" s="15"/>
      <c r="S12" s="15"/>
      <c r="T12" s="15" t="s">
        <v>233</v>
      </c>
      <c r="U12" s="15"/>
      <c r="V12" s="15" t="s">
        <v>234</v>
      </c>
      <c r="W12" s="15"/>
    </row>
    <row r="13" spans="1:23" ht="12.75" customHeight="1">
      <c r="A13" s="45"/>
      <c r="B13" s="4" t="s">
        <v>235</v>
      </c>
      <c r="D13" s="42"/>
      <c r="E13" s="153" t="s">
        <v>236</v>
      </c>
      <c r="F13" s="15" t="s">
        <v>237</v>
      </c>
      <c r="G13" s="15" t="s">
        <v>238</v>
      </c>
      <c r="H13" s="15" t="s">
        <v>239</v>
      </c>
      <c r="I13" s="15"/>
      <c r="J13" s="15" t="s">
        <v>240</v>
      </c>
      <c r="K13" s="15" t="s">
        <v>153</v>
      </c>
      <c r="L13" s="15" t="s">
        <v>237</v>
      </c>
      <c r="M13" s="15" t="s">
        <v>238</v>
      </c>
      <c r="N13" s="15" t="s">
        <v>239</v>
      </c>
      <c r="O13" s="15"/>
      <c r="P13" s="15" t="s">
        <v>240</v>
      </c>
      <c r="Q13" s="15" t="s">
        <v>153</v>
      </c>
      <c r="R13" s="15" t="s">
        <v>237</v>
      </c>
      <c r="S13" s="15" t="s">
        <v>238</v>
      </c>
      <c r="T13" s="15" t="s">
        <v>239</v>
      </c>
      <c r="U13" s="15"/>
      <c r="V13" s="15" t="s">
        <v>240</v>
      </c>
      <c r="W13" s="15" t="s">
        <v>153</v>
      </c>
    </row>
    <row r="14" spans="1:23" ht="12.75" customHeight="1">
      <c r="A14" s="45"/>
      <c r="D14" s="42"/>
      <c r="E14" s="153" t="s">
        <v>241</v>
      </c>
      <c r="F14" s="64" t="s">
        <v>242</v>
      </c>
      <c r="G14" s="64" t="s">
        <v>243</v>
      </c>
      <c r="H14" s="64" t="s">
        <v>244</v>
      </c>
      <c r="I14" s="64" t="s">
        <v>245</v>
      </c>
      <c r="J14" s="64" t="s">
        <v>246</v>
      </c>
      <c r="K14" s="64" t="s">
        <v>247</v>
      </c>
      <c r="L14" s="64" t="s">
        <v>242</v>
      </c>
      <c r="M14" s="64" t="s">
        <v>243</v>
      </c>
      <c r="N14" s="64" t="s">
        <v>244</v>
      </c>
      <c r="O14" s="64" t="s">
        <v>245</v>
      </c>
      <c r="P14" s="64" t="s">
        <v>246</v>
      </c>
      <c r="Q14" s="64" t="s">
        <v>247</v>
      </c>
      <c r="R14" s="64" t="s">
        <v>242</v>
      </c>
      <c r="S14" s="64" t="s">
        <v>243</v>
      </c>
      <c r="T14" s="64" t="s">
        <v>244</v>
      </c>
      <c r="U14" s="64" t="s">
        <v>245</v>
      </c>
      <c r="V14" s="64" t="s">
        <v>246</v>
      </c>
      <c r="W14" s="64" t="s">
        <v>247</v>
      </c>
    </row>
    <row r="15" spans="1:23" ht="12.75" customHeight="1">
      <c r="A15" s="45" t="s">
        <v>248</v>
      </c>
      <c r="D15" s="42"/>
      <c r="E15" s="153" t="s">
        <v>14</v>
      </c>
      <c r="G15" s="15" t="s">
        <v>249</v>
      </c>
      <c r="H15" s="15" t="s">
        <v>88</v>
      </c>
      <c r="I15" s="15" t="s">
        <v>88</v>
      </c>
      <c r="J15" s="15" t="s">
        <v>250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250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250</v>
      </c>
      <c r="W15" s="15" t="s">
        <v>17</v>
      </c>
    </row>
    <row r="16" spans="1:5" ht="12.75" customHeight="1">
      <c r="A16" s="45"/>
      <c r="B16" s="4" t="s">
        <v>251</v>
      </c>
      <c r="D16" s="42"/>
      <c r="E16" s="153" t="s">
        <v>217</v>
      </c>
    </row>
    <row r="17" spans="1:23" ht="12.75" customHeight="1">
      <c r="A17" s="45"/>
      <c r="B17" s="4" t="s">
        <v>252</v>
      </c>
      <c r="D17" s="42"/>
      <c r="E17" s="153" t="s">
        <v>253</v>
      </c>
      <c r="F17" s="154">
        <f>H10</f>
        <v>39416</v>
      </c>
      <c r="G17" s="55">
        <f>VLOOKUP(F17,ADJUSTTABLE,2)</f>
        <v>5068719.5</v>
      </c>
      <c r="H17" s="55">
        <f>VLOOKUP(F17,ADJUSTTABLE,4)</f>
        <v>0</v>
      </c>
      <c r="I17" s="55">
        <f>SUM(G17:H17)</f>
        <v>5068719.5</v>
      </c>
      <c r="J17" s="155">
        <f>VLOOKUP(H10,raaabatable,3)</f>
        <v>-0.9029</v>
      </c>
      <c r="K17" s="55">
        <f>ROUND(I17*J17,0)</f>
        <v>-4576547</v>
      </c>
      <c r="L17" s="154">
        <f>N10</f>
        <v>39416</v>
      </c>
      <c r="M17" s="55">
        <f>VLOOKUP(L17,ADJUSTTABLE,2)</f>
        <v>5068719.5</v>
      </c>
      <c r="N17" s="55">
        <f>VLOOKUP(L17,ADJUSTTABLE,4)</f>
        <v>0</v>
      </c>
      <c r="O17" s="55">
        <f>SUM(M17:N17)</f>
        <v>5068719.5</v>
      </c>
      <c r="P17" s="156">
        <f>VLOOKUP(N10,raaabatable,2)</f>
        <v>0</v>
      </c>
      <c r="Q17" s="55">
        <f>ROUND(O17*P17,0)</f>
        <v>0</v>
      </c>
      <c r="R17" s="154">
        <f>T10+2</f>
        <v>39688</v>
      </c>
      <c r="S17" s="55">
        <f>VLOOKUP(R17,ADJUSTTABLE,2)</f>
        <v>1255253.5</v>
      </c>
      <c r="T17" s="55">
        <f>VLOOKUP(R17,ADJUSTTABLE,4)</f>
        <v>0</v>
      </c>
      <c r="U17" s="55">
        <f>SUM(S17:T17)</f>
        <v>1255253.5</v>
      </c>
      <c r="V17" s="156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254</v>
      </c>
      <c r="D18" s="42"/>
      <c r="E18" s="47"/>
      <c r="G18" s="55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255</v>
      </c>
      <c r="D19" s="42"/>
      <c r="E19" s="47"/>
      <c r="F19" s="157">
        <f>SUM(F17+30)</f>
        <v>39446</v>
      </c>
      <c r="G19" s="55">
        <f>VLOOKUP(F19,ADJUSTTABLE,2)</f>
        <v>10230484.5</v>
      </c>
      <c r="H19" s="55">
        <f>VLOOKUP(F19,ADJUSTTABLE,4)</f>
        <v>0</v>
      </c>
      <c r="I19" s="55">
        <f>SUM(G19:H19)</f>
        <v>10230484.5</v>
      </c>
      <c r="J19" s="158">
        <f>J$17</f>
        <v>-0.9029</v>
      </c>
      <c r="K19" s="55">
        <f>ROUND(I19*J19,0)</f>
        <v>-9237104</v>
      </c>
      <c r="L19" s="157">
        <f>SUM(L17+30)</f>
        <v>39446</v>
      </c>
      <c r="M19" s="55">
        <f>VLOOKUP(L19,ADJUSTTABLE,2)</f>
        <v>10230484.5</v>
      </c>
      <c r="N19" s="55">
        <f>VLOOKUP(L19,ADJUSTTABLE,4)</f>
        <v>0</v>
      </c>
      <c r="O19" s="55">
        <f>SUM(M19:N19)</f>
        <v>10230484.5</v>
      </c>
      <c r="P19" s="4">
        <f>P$17</f>
        <v>0</v>
      </c>
      <c r="Q19" s="55">
        <f>ROUND(O19*P19,0)</f>
        <v>0</v>
      </c>
      <c r="R19" s="157">
        <f>SUM(R17+31)</f>
        <v>39719</v>
      </c>
      <c r="S19" s="55">
        <f>VLOOKUP(R19,ADJUSTTABLE,2)</f>
        <v>1319594</v>
      </c>
      <c r="T19" s="55">
        <f>VLOOKUP(R19,ADJUSTTABLE,4)</f>
        <v>0</v>
      </c>
      <c r="U19" s="55">
        <f>SUM(S19:T19)</f>
        <v>1319594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55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223</v>
      </c>
      <c r="D21" s="80" t="s">
        <v>17</v>
      </c>
      <c r="E21" s="139">
        <f>K44</f>
        <v>-2555483</v>
      </c>
      <c r="F21" s="157">
        <f>SUM(F19+30)</f>
        <v>39476</v>
      </c>
      <c r="G21" s="55">
        <f>VLOOKUP(F21,ADJUSTTABLE,2)</f>
        <v>12783246.7</v>
      </c>
      <c r="H21" s="55">
        <f>VLOOKUP(F21,ADJUSTTABLE,4)</f>
        <v>0</v>
      </c>
      <c r="I21" s="55">
        <f>SUM(G21:H21)</f>
        <v>12783246.7</v>
      </c>
      <c r="J21" s="158">
        <f>J$17</f>
        <v>-0.9029</v>
      </c>
      <c r="K21" s="55">
        <f>ROUND(I21*J21,0)</f>
        <v>-11541993</v>
      </c>
      <c r="L21" s="157">
        <f>SUM(L19+30)</f>
        <v>39476</v>
      </c>
      <c r="M21" s="55">
        <f>VLOOKUP(L21,ADJUSTTABLE,2)</f>
        <v>12783246.7</v>
      </c>
      <c r="N21" s="55">
        <f>VLOOKUP(L21,ADJUSTTABLE,4)</f>
        <v>0</v>
      </c>
      <c r="O21" s="55">
        <f>SUM(M21:N21)</f>
        <v>12783246.7</v>
      </c>
      <c r="P21" s="4">
        <f>P$17</f>
        <v>0</v>
      </c>
      <c r="Q21" s="55">
        <f>ROUND(O21*P21,0)</f>
        <v>0</v>
      </c>
      <c r="R21" s="157">
        <f>SUM(R19+31)</f>
        <v>39750</v>
      </c>
      <c r="S21" s="101">
        <f>VLOOKUP(R21,ADJUSTTABLE,2)</f>
        <v>1911247.6</v>
      </c>
      <c r="T21" s="101">
        <f>VLOOKUP(R21,ADJUSTTABLE,4)</f>
        <v>0</v>
      </c>
      <c r="U21" s="101">
        <f>SUM(S21:T21)</f>
        <v>1911247.6</v>
      </c>
      <c r="V21" s="4">
        <f>V$17</f>
        <v>0</v>
      </c>
      <c r="W21" s="101">
        <f>ROUND(U21*V21,0)</f>
        <v>0</v>
      </c>
    </row>
    <row r="22" spans="1:21" ht="12.75" customHeight="1">
      <c r="A22" s="45"/>
      <c r="D22" s="42"/>
      <c r="E22" s="47"/>
      <c r="G22" s="55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7">
        <f>SUM(F21+30)</f>
        <v>39506</v>
      </c>
      <c r="G23" s="55">
        <f>VLOOKUP(F23,ADJUSTTABLE,2)</f>
        <v>12978723</v>
      </c>
      <c r="H23" s="55">
        <f>VLOOKUP(F23,ADJUSTTABLE,4)</f>
        <v>0</v>
      </c>
      <c r="I23" s="55">
        <f>SUM(G23:H23)</f>
        <v>12978723</v>
      </c>
      <c r="J23" s="158">
        <f>J$17</f>
        <v>-0.9029</v>
      </c>
      <c r="K23" s="55">
        <f>ROUND(I23*J23,0)</f>
        <v>-11718489</v>
      </c>
      <c r="L23" s="157">
        <f>SUM(L21+30)</f>
        <v>39506</v>
      </c>
      <c r="M23" s="55">
        <f>VLOOKUP(L23,ADJUSTTABLE,2)</f>
        <v>12978723</v>
      </c>
      <c r="N23" s="55">
        <f>VLOOKUP(L23,ADJUSTTABLE,4)</f>
        <v>0</v>
      </c>
      <c r="O23" s="55">
        <f>SUM(M23:N23)</f>
        <v>12978723</v>
      </c>
      <c r="P23" s="4">
        <f>P$17</f>
        <v>0</v>
      </c>
      <c r="Q23" s="55">
        <f>ROUND(O23*P23,0)</f>
        <v>0</v>
      </c>
      <c r="R23" s="157" t="s">
        <v>245</v>
      </c>
      <c r="S23" s="55">
        <f>SUM(S17:S21)</f>
        <v>4486095.1</v>
      </c>
      <c r="T23" s="55">
        <f>SUM(T17:T21)</f>
        <v>0</v>
      </c>
      <c r="U23" s="55">
        <f>SUM(U17:U21)</f>
        <v>4486095.1</v>
      </c>
      <c r="W23" s="101">
        <f>SUM(W17:W21)</f>
        <v>0</v>
      </c>
    </row>
    <row r="24" spans="1:24" ht="12.75" customHeight="1">
      <c r="A24" s="45" t="s">
        <v>256</v>
      </c>
      <c r="D24" s="42"/>
      <c r="E24" s="47"/>
      <c r="G24" s="55"/>
      <c r="H24" s="55"/>
      <c r="I24" s="55"/>
      <c r="M24" s="55"/>
      <c r="N24" s="55"/>
      <c r="O24" s="55"/>
      <c r="R24" s="159"/>
      <c r="S24" s="160"/>
      <c r="T24" s="160"/>
      <c r="U24" s="160"/>
      <c r="V24" s="161"/>
      <c r="W24" s="162"/>
      <c r="X24" s="159"/>
    </row>
    <row r="25" spans="1:23" ht="12.75" customHeight="1" thickBot="1">
      <c r="A25" s="45"/>
      <c r="B25" s="4" t="s">
        <v>257</v>
      </c>
      <c r="D25" s="42"/>
      <c r="E25" s="47"/>
      <c r="F25" s="157">
        <f>SUM(F23+30)</f>
        <v>39536</v>
      </c>
      <c r="G25" s="55">
        <f>VLOOKUP(F25,ADJUSTTABLE,2)</f>
        <v>12690788</v>
      </c>
      <c r="H25" s="55">
        <f>VLOOKUP(F25,ADJUSTTABLE,4)</f>
        <v>0</v>
      </c>
      <c r="I25" s="55">
        <f>SUM(G25:H25)</f>
        <v>12690788</v>
      </c>
      <c r="J25" s="158">
        <f>J$17</f>
        <v>-0.9029</v>
      </c>
      <c r="K25" s="55">
        <f>ROUND(I25*J25,0)</f>
        <v>-11458512</v>
      </c>
      <c r="L25" s="157">
        <f>SUM(L23+30)</f>
        <v>39536</v>
      </c>
      <c r="M25" s="55">
        <f>VLOOKUP(L25,ADJUSTTABLE,2)</f>
        <v>12690788</v>
      </c>
      <c r="N25" s="55">
        <f>VLOOKUP(L25,ADJUSTTABLE,4)</f>
        <v>0</v>
      </c>
      <c r="O25" s="55">
        <f>SUM(M25:N25)</f>
        <v>12690788</v>
      </c>
      <c r="P25" s="4">
        <f>P$17</f>
        <v>0</v>
      </c>
      <c r="Q25" s="55">
        <f>ROUND(O25*P25,0)</f>
        <v>0</v>
      </c>
      <c r="R25" s="157" t="s">
        <v>225</v>
      </c>
      <c r="S25" s="55"/>
      <c r="T25" s="55"/>
      <c r="U25" s="55"/>
      <c r="W25" s="163">
        <f>SUM(W10-W23)+W24</f>
        <v>0</v>
      </c>
    </row>
    <row r="26" spans="1:21" ht="12.75" customHeight="1" thickTop="1">
      <c r="A26" s="45"/>
      <c r="B26" s="4" t="s">
        <v>258</v>
      </c>
      <c r="D26" s="42"/>
      <c r="E26" s="153" t="s">
        <v>236</v>
      </c>
      <c r="G26" s="55"/>
      <c r="H26" s="55"/>
      <c r="I26" s="55"/>
      <c r="M26" s="55"/>
      <c r="N26" s="55"/>
      <c r="O26" s="55"/>
      <c r="R26" s="4" t="s">
        <v>259</v>
      </c>
      <c r="S26" s="55"/>
      <c r="T26" s="55"/>
      <c r="U26" s="55"/>
    </row>
    <row r="27" spans="1:23" ht="12.75" customHeight="1">
      <c r="A27" s="45"/>
      <c r="D27" s="42"/>
      <c r="E27" s="153" t="s">
        <v>241</v>
      </c>
      <c r="F27" s="157">
        <f>SUM(F25+30)</f>
        <v>39566</v>
      </c>
      <c r="G27" s="55">
        <f>VLOOKUP(F27,ADJUSTTABLE,2)</f>
        <v>7905968.9</v>
      </c>
      <c r="H27" s="55">
        <f>VLOOKUP(F27,ADJUSTTABLE,4)</f>
        <v>0</v>
      </c>
      <c r="I27" s="55">
        <f>SUM(G27:H27)</f>
        <v>7905968.9</v>
      </c>
      <c r="J27" s="158">
        <f>J$17</f>
        <v>-0.9029</v>
      </c>
      <c r="K27" s="55">
        <f>ROUND(I27*J27,0)</f>
        <v>-7138299</v>
      </c>
      <c r="L27" s="157">
        <f>SUM(L25+30)</f>
        <v>39566</v>
      </c>
      <c r="M27" s="55">
        <f>VLOOKUP(L27,ADJUSTTABLE,2)</f>
        <v>7905968.9</v>
      </c>
      <c r="N27" s="55">
        <f>VLOOKUP(L27,ADJUSTTABLE,4)</f>
        <v>0</v>
      </c>
      <c r="O27" s="55">
        <f>SUM(M27:N27)</f>
        <v>7905968.9</v>
      </c>
      <c r="P27" s="4">
        <f>P$17</f>
        <v>0</v>
      </c>
      <c r="Q27" s="55">
        <f>ROUND(O27*P27,0)</f>
        <v>0</v>
      </c>
      <c r="R27" s="147" t="s">
        <v>260</v>
      </c>
      <c r="S27" s="55"/>
      <c r="T27" s="55"/>
      <c r="U27" s="55"/>
      <c r="W27" s="55"/>
    </row>
    <row r="28" spans="1:21" ht="12.75" customHeight="1">
      <c r="A28" s="45" t="s">
        <v>261</v>
      </c>
      <c r="D28" s="42"/>
      <c r="E28" s="153" t="s">
        <v>14</v>
      </c>
      <c r="G28" s="55"/>
      <c r="H28" s="55"/>
      <c r="I28" s="55"/>
      <c r="M28" s="55"/>
      <c r="N28" s="55"/>
      <c r="O28" s="55"/>
      <c r="R28" s="147" t="s">
        <v>262</v>
      </c>
      <c r="T28" s="55"/>
      <c r="U28" s="55"/>
    </row>
    <row r="29" spans="1:23" ht="12.75" customHeight="1">
      <c r="A29" s="45"/>
      <c r="B29" s="4" t="s">
        <v>263</v>
      </c>
      <c r="D29" s="42"/>
      <c r="E29" s="164" t="s">
        <v>217</v>
      </c>
      <c r="F29" s="157">
        <f>SUM(F27+30)</f>
        <v>39596</v>
      </c>
      <c r="G29" s="55">
        <f>VLOOKUP(F29,ADJUSTTABLE,2)</f>
        <v>3146258.5</v>
      </c>
      <c r="H29" s="55">
        <f>VLOOKUP(F29,ADJUSTTABLE,4)</f>
        <v>0</v>
      </c>
      <c r="I29" s="55">
        <f>SUM(G29:H29)</f>
        <v>3146258.5</v>
      </c>
      <c r="J29" s="158">
        <f>J$17</f>
        <v>-0.9029</v>
      </c>
      <c r="K29" s="55">
        <f>ROUND(I29*J29,0)</f>
        <v>-2840757</v>
      </c>
      <c r="L29" s="157">
        <f>SUM(L27+30)</f>
        <v>39596</v>
      </c>
      <c r="M29" s="55">
        <f>VLOOKUP(L29,ADJUSTTABLE,2)</f>
        <v>3146258.5</v>
      </c>
      <c r="N29" s="55">
        <f>VLOOKUP(L29,ADJUSTTABLE,4)</f>
        <v>0</v>
      </c>
      <c r="O29" s="55">
        <f>SUM(M29:N29)</f>
        <v>3146258.5</v>
      </c>
      <c r="P29" s="4">
        <f>P$17</f>
        <v>0</v>
      </c>
      <c r="Q29" s="55">
        <f>ROUND(O29*P29,0)</f>
        <v>0</v>
      </c>
      <c r="R29" s="157"/>
      <c r="S29" s="55"/>
      <c r="T29" s="55"/>
      <c r="U29" s="55"/>
      <c r="W29" s="55"/>
    </row>
    <row r="30" spans="1:21" ht="12.75" customHeight="1">
      <c r="A30" s="45"/>
      <c r="B30" s="4" t="s">
        <v>264</v>
      </c>
      <c r="D30" s="42"/>
      <c r="E30" s="153" t="s">
        <v>265</v>
      </c>
      <c r="G30" s="55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266</v>
      </c>
      <c r="D31" s="42"/>
      <c r="E31" s="47"/>
      <c r="F31" s="157">
        <f>SUM(F29+30)</f>
        <v>39626</v>
      </c>
      <c r="G31" s="55">
        <f>VLOOKUP(F31,ADJUSTTABLE,2)</f>
        <v>2055549.7</v>
      </c>
      <c r="H31" s="55">
        <f>VLOOKUP(F31,ADJUSTTABLE,4)</f>
        <v>0</v>
      </c>
      <c r="I31" s="55">
        <f>SUM(G31:H31)</f>
        <v>2055549.7</v>
      </c>
      <c r="J31" s="158">
        <f>J$17</f>
        <v>-0.9029</v>
      </c>
      <c r="K31" s="55">
        <f>ROUND(I31*J31,0)</f>
        <v>-1855956</v>
      </c>
      <c r="L31" s="157">
        <f>SUM(L29+30)</f>
        <v>39626</v>
      </c>
      <c r="M31" s="55">
        <f>VLOOKUP(L31,ADJUSTTABLE,2)</f>
        <v>2055549.7</v>
      </c>
      <c r="N31" s="55">
        <f>VLOOKUP(L31,ADJUSTTABLE,4)</f>
        <v>0</v>
      </c>
      <c r="O31" s="55">
        <f>SUM(M31:N31)</f>
        <v>2055549.7</v>
      </c>
      <c r="P31" s="4">
        <f>P$17</f>
        <v>0</v>
      </c>
      <c r="Q31" s="55">
        <f>ROUND(O31*P31,0)</f>
        <v>0</v>
      </c>
      <c r="R31" s="157"/>
      <c r="S31" s="55"/>
      <c r="T31" s="55"/>
      <c r="U31" s="55"/>
      <c r="W31" s="55"/>
    </row>
    <row r="32" spans="1:21" ht="12.75" customHeight="1">
      <c r="A32" s="45"/>
      <c r="B32" s="4" t="s">
        <v>254</v>
      </c>
      <c r="D32" s="42"/>
      <c r="E32" s="47"/>
      <c r="G32" s="55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255</v>
      </c>
      <c r="D33" s="42"/>
      <c r="E33" s="47"/>
      <c r="F33" s="157">
        <f>SUM(F31+31)</f>
        <v>39657</v>
      </c>
      <c r="G33" s="55">
        <f>VLOOKUP(F33,ADJUSTTABLE,2)</f>
        <v>1307746.6</v>
      </c>
      <c r="H33" s="55">
        <f>VLOOKUP(F33,ADJUSTTABLE,4)</f>
        <v>0</v>
      </c>
      <c r="I33" s="55">
        <f>SUM(G33:H33)</f>
        <v>1307746.6</v>
      </c>
      <c r="J33" s="158">
        <f>J$17</f>
        <v>-0.9029</v>
      </c>
      <c r="K33" s="55">
        <f>ROUND(I33*J33,0)</f>
        <v>-1180764</v>
      </c>
      <c r="L33" s="157">
        <f>SUM(L31+31)</f>
        <v>39657</v>
      </c>
      <c r="M33" s="55">
        <f>VLOOKUP(L33,ADJUSTTABLE,2)</f>
        <v>1307746.6</v>
      </c>
      <c r="N33" s="55">
        <f>VLOOKUP(L33,ADJUSTTABLE,4)</f>
        <v>0</v>
      </c>
      <c r="O33" s="55">
        <f>SUM(M33:N33)</f>
        <v>1307746.6</v>
      </c>
      <c r="P33" s="4">
        <f>P$17</f>
        <v>0</v>
      </c>
      <c r="Q33" s="55">
        <f>ROUND(O33*P33,0)</f>
        <v>0</v>
      </c>
      <c r="R33" s="157"/>
      <c r="S33" s="55"/>
      <c r="T33" s="55"/>
      <c r="U33" s="55"/>
      <c r="W33" s="55"/>
    </row>
    <row r="34" spans="1:21" ht="12.75" customHeight="1">
      <c r="A34" s="45"/>
      <c r="D34" s="42"/>
      <c r="E34" s="47"/>
      <c r="G34" s="55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224</v>
      </c>
      <c r="D35" s="80" t="s">
        <v>17</v>
      </c>
      <c r="E35" s="139">
        <f>Q44</f>
        <v>-1115</v>
      </c>
      <c r="F35" s="157">
        <f>SUM(F33+31)</f>
        <v>39688</v>
      </c>
      <c r="G35" s="55">
        <f>VLOOKUP(F35,ADJUSTTABLE,2)</f>
        <v>1255253.5</v>
      </c>
      <c r="H35" s="55">
        <f>VLOOKUP(F35,ADJUSTTABLE,4)</f>
        <v>0</v>
      </c>
      <c r="I35" s="55">
        <f>SUM(G35:H35)</f>
        <v>1255253.5</v>
      </c>
      <c r="J35" s="158">
        <f>J$17</f>
        <v>-0.9029</v>
      </c>
      <c r="K35" s="55">
        <f>ROUND(I35*J35,0)</f>
        <v>-1133368</v>
      </c>
      <c r="L35" s="157">
        <f>SUM(L33+31)</f>
        <v>39688</v>
      </c>
      <c r="M35" s="55">
        <f>VLOOKUP(L35,ADJUSTTABLE,2)</f>
        <v>1255253.5</v>
      </c>
      <c r="N35" s="55">
        <f>VLOOKUP(L35,ADJUSTTABLE,4)</f>
        <v>0</v>
      </c>
      <c r="O35" s="55">
        <f>SUM(M35:N35)</f>
        <v>1255253.5</v>
      </c>
      <c r="P35" s="4">
        <f>P$17</f>
        <v>0</v>
      </c>
      <c r="Q35" s="55">
        <f>ROUND(O35*P35,0)</f>
        <v>0</v>
      </c>
      <c r="R35" s="157"/>
      <c r="S35" s="55"/>
      <c r="T35" s="55"/>
      <c r="U35" s="55"/>
      <c r="W35" s="55"/>
    </row>
    <row r="36" spans="1:21" ht="12.75" customHeight="1">
      <c r="A36" s="45"/>
      <c r="D36" s="42"/>
      <c r="E36" s="47"/>
      <c r="G36" s="55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7">
        <f>SUM(F35+31)</f>
        <v>39719</v>
      </c>
      <c r="G37" s="55">
        <f>VLOOKUP(F37,ADJUSTTABLE,2)</f>
        <v>1319594</v>
      </c>
      <c r="H37" s="55">
        <f>VLOOKUP(F37,ADJUSTTABLE,4)</f>
        <v>0</v>
      </c>
      <c r="I37" s="55">
        <f>SUM(G37:H37)</f>
        <v>1319594</v>
      </c>
      <c r="J37" s="158">
        <f>J$17</f>
        <v>-0.9029</v>
      </c>
      <c r="K37" s="55">
        <f>ROUND(I37*J37,0)</f>
        <v>-1191461</v>
      </c>
      <c r="L37" s="157">
        <f>SUM(L35+31)</f>
        <v>39719</v>
      </c>
      <c r="M37" s="55">
        <f>VLOOKUP(L37,ADJUSTTABLE,2)</f>
        <v>1319594</v>
      </c>
      <c r="N37" s="55">
        <f>VLOOKUP(L37,ADJUSTTABLE,4)</f>
        <v>0</v>
      </c>
      <c r="O37" s="55">
        <f>SUM(M37:N37)</f>
        <v>1319594</v>
      </c>
      <c r="P37" s="4">
        <f>P$17</f>
        <v>0</v>
      </c>
      <c r="Q37" s="55">
        <f>ROUND(O37*P37,0)</f>
        <v>0</v>
      </c>
      <c r="R37" s="157"/>
      <c r="S37" s="55"/>
      <c r="T37" s="55"/>
      <c r="U37" s="55"/>
      <c r="W37" s="55"/>
    </row>
    <row r="38" spans="1:21" ht="12.75" customHeight="1">
      <c r="A38" s="45" t="s">
        <v>267</v>
      </c>
      <c r="D38" s="42"/>
      <c r="E38" s="47"/>
      <c r="G38" s="55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268</v>
      </c>
      <c r="D39" s="42"/>
      <c r="E39" s="153" t="s">
        <v>236</v>
      </c>
      <c r="F39" s="157">
        <f>SUM(F37+31)</f>
        <v>39750</v>
      </c>
      <c r="G39" s="101">
        <f>VLOOKUP(F39,ADJUSTTABLE,2)</f>
        <v>1911247.6</v>
      </c>
      <c r="H39" s="101">
        <f>VLOOKUP(F39,ADJUSTTABLE,4)</f>
        <v>0</v>
      </c>
      <c r="I39" s="101">
        <f>SUM(G39:H39)</f>
        <v>1911247.6</v>
      </c>
      <c r="J39" s="158">
        <f>J$17</f>
        <v>-0.9029</v>
      </c>
      <c r="K39" s="101">
        <f>ROUND(I39*J39,0)</f>
        <v>-1725665</v>
      </c>
      <c r="L39" s="157">
        <f>SUM(L37+31)</f>
        <v>39750</v>
      </c>
      <c r="M39" s="101">
        <f>VLOOKUP(L39,ADJUSTTABLE,2)</f>
        <v>1911247.6</v>
      </c>
      <c r="N39" s="101">
        <f>VLOOKUP(L39,ADJUSTTABLE,4)</f>
        <v>0</v>
      </c>
      <c r="O39" s="101">
        <f>SUM(M39:N39)</f>
        <v>1911247.6</v>
      </c>
      <c r="P39" s="4">
        <f>P$17</f>
        <v>0</v>
      </c>
      <c r="Q39" s="101">
        <f>ROUND(O39*P39,0)</f>
        <v>0</v>
      </c>
      <c r="R39" s="157"/>
      <c r="S39" s="101"/>
      <c r="T39" s="101"/>
      <c r="U39" s="101"/>
      <c r="W39" s="101"/>
    </row>
    <row r="40" spans="1:21" ht="12.75" customHeight="1">
      <c r="A40" s="45"/>
      <c r="D40" s="42"/>
      <c r="E40" s="153" t="s">
        <v>241</v>
      </c>
      <c r="F40" s="157"/>
      <c r="G40" s="101"/>
      <c r="H40" s="101"/>
      <c r="I40" s="101"/>
      <c r="J40" s="158"/>
      <c r="K40" s="101"/>
      <c r="L40" s="157"/>
      <c r="M40" s="101"/>
      <c r="N40" s="101"/>
      <c r="O40" s="101"/>
      <c r="Q40" s="101"/>
      <c r="S40" s="55"/>
      <c r="T40" s="55"/>
      <c r="U40" s="55"/>
    </row>
    <row r="41" spans="1:23" ht="12.75" customHeight="1">
      <c r="A41" s="45" t="s">
        <v>269</v>
      </c>
      <c r="D41" s="42"/>
      <c r="E41" s="153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1"/>
    </row>
    <row r="42" spans="1:17" ht="12.75" customHeight="1">
      <c r="A42" s="45"/>
      <c r="B42" s="4" t="s">
        <v>270</v>
      </c>
      <c r="D42" s="42"/>
      <c r="E42" s="153" t="s">
        <v>217</v>
      </c>
      <c r="F42" s="4" t="s">
        <v>245</v>
      </c>
      <c r="G42" s="55">
        <f>SUM(G17:G39)</f>
        <v>72653580.5</v>
      </c>
      <c r="H42" s="55">
        <f>SUM(H17:H39)</f>
        <v>0</v>
      </c>
      <c r="I42" s="55">
        <f>SUM(I17:I39)</f>
        <v>72653580.5</v>
      </c>
      <c r="K42" s="101">
        <f>SUM(K17:K39)</f>
        <v>-65598915</v>
      </c>
      <c r="L42" s="4" t="s">
        <v>245</v>
      </c>
      <c r="M42" s="55">
        <f>SUM(M17:M39)</f>
        <v>72653580.5</v>
      </c>
      <c r="N42" s="55">
        <f>SUM(N17:N39)</f>
        <v>0</v>
      </c>
      <c r="O42" s="55">
        <f>SUM(O17:O39)</f>
        <v>72653580.5</v>
      </c>
      <c r="Q42" s="101">
        <f>SUM(Q17:Q39)</f>
        <v>0</v>
      </c>
    </row>
    <row r="43" spans="1:23" ht="12.75" customHeight="1">
      <c r="A43" s="45"/>
      <c r="B43" s="4" t="s">
        <v>271</v>
      </c>
      <c r="D43" s="42"/>
      <c r="E43" s="153" t="s">
        <v>272</v>
      </c>
      <c r="W43" s="165"/>
    </row>
    <row r="44" spans="1:17" ht="12.75" customHeight="1" thickBot="1">
      <c r="A44" s="45"/>
      <c r="B44" s="4" t="s">
        <v>273</v>
      </c>
      <c r="D44" s="42"/>
      <c r="E44" s="47"/>
      <c r="F44" s="4" t="s">
        <v>223</v>
      </c>
      <c r="K44" s="166">
        <f>SUM(K10-K42)</f>
        <v>-2555483</v>
      </c>
      <c r="L44" s="4" t="s">
        <v>224</v>
      </c>
      <c r="Q44" s="166">
        <f>SUM(Q10-Q42)</f>
        <v>-1115</v>
      </c>
    </row>
    <row r="45" spans="1:5" ht="12.75" customHeight="1" thickTop="1">
      <c r="A45" s="45"/>
      <c r="B45" s="4" t="s">
        <v>274</v>
      </c>
      <c r="D45" s="42"/>
      <c r="E45" s="47"/>
    </row>
    <row r="46" spans="1:12" ht="12.75" customHeight="1">
      <c r="A46" s="45"/>
      <c r="D46" s="42"/>
      <c r="E46" s="47"/>
      <c r="F46" s="147" t="s">
        <v>260</v>
      </c>
      <c r="L46" s="147" t="s">
        <v>260</v>
      </c>
    </row>
    <row r="47" spans="1:12" ht="12.75" customHeight="1">
      <c r="A47" s="45"/>
      <c r="B47" s="4" t="s">
        <v>225</v>
      </c>
      <c r="D47" s="80" t="s">
        <v>17</v>
      </c>
      <c r="E47" s="139">
        <f>W25</f>
        <v>0</v>
      </c>
      <c r="F47" s="147" t="s">
        <v>262</v>
      </c>
      <c r="L47" s="147" t="s">
        <v>262</v>
      </c>
    </row>
    <row r="48" spans="1:5" ht="12.75" customHeight="1">
      <c r="A48" s="45"/>
      <c r="D48" s="42"/>
      <c r="E48" s="167"/>
    </row>
    <row r="49" spans="1:5" ht="12.75" customHeight="1">
      <c r="A49" s="40"/>
      <c r="B49" s="8" t="s">
        <v>275</v>
      </c>
      <c r="C49" s="8"/>
      <c r="D49" s="126" t="s">
        <v>17</v>
      </c>
      <c r="E49" s="139">
        <f>SUM(E47+E35+E21)</f>
        <v>-2556598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">
      <selection activeCell="F23" sqref="F23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276</v>
      </c>
      <c r="B3" s="2"/>
      <c r="C3" s="2"/>
      <c r="D3" s="2"/>
      <c r="E3" s="2"/>
    </row>
    <row r="4" spans="1:5" ht="12.75" customHeight="1">
      <c r="A4" s="2" t="s">
        <v>277</v>
      </c>
      <c r="B4" s="2"/>
      <c r="C4" s="2"/>
      <c r="D4" s="2"/>
      <c r="E4" s="2"/>
    </row>
    <row r="5" spans="1:5" ht="12.75" customHeight="1">
      <c r="A5" s="105">
        <f>'[1]Instruct &amp; Input'!C10</f>
        <v>39874</v>
      </c>
      <c r="B5" s="2"/>
      <c r="C5" s="2"/>
      <c r="D5" s="2"/>
      <c r="E5" s="2"/>
    </row>
    <row r="7" spans="1:5" ht="12.75" customHeight="1">
      <c r="A7" s="168" t="s">
        <v>278</v>
      </c>
      <c r="B7" s="124"/>
      <c r="C7" s="124"/>
      <c r="D7" s="124"/>
      <c r="E7" s="124"/>
    </row>
    <row r="8" spans="1:5" ht="12.75" customHeight="1">
      <c r="A8" s="169" t="s">
        <v>279</v>
      </c>
      <c r="B8" s="124"/>
      <c r="C8" s="124"/>
      <c r="D8" s="124"/>
      <c r="E8" s="169" t="s">
        <v>6</v>
      </c>
    </row>
    <row r="10" spans="1:3" ht="12.75" customHeight="1">
      <c r="A10" s="4">
        <v>1</v>
      </c>
      <c r="C10" s="170" t="s">
        <v>280</v>
      </c>
    </row>
    <row r="12" spans="1:5" ht="12.75" customHeight="1">
      <c r="A12" s="4">
        <f>A10+1</f>
        <v>2</v>
      </c>
      <c r="C12" s="4" t="s">
        <v>281</v>
      </c>
      <c r="E12" s="59">
        <f>'Summ File'!F18</f>
        <v>124572075</v>
      </c>
    </row>
    <row r="13" spans="1:5" ht="12.75" customHeight="1">
      <c r="A13" s="4">
        <f>A12+1</f>
        <v>3</v>
      </c>
      <c r="C13" s="4" t="s">
        <v>282</v>
      </c>
      <c r="E13" s="55">
        <f>'Summ File'!F19</f>
        <v>85267000</v>
      </c>
    </row>
    <row r="15" spans="1:5" ht="12.75" customHeight="1">
      <c r="A15" s="4">
        <f>A13+1</f>
        <v>4</v>
      </c>
      <c r="C15" s="4" t="s">
        <v>283</v>
      </c>
      <c r="E15" s="171">
        <f>ROUND(E12/E13,4)*100</f>
        <v>146.1</v>
      </c>
    </row>
    <row r="16" spans="1:5" ht="12.75" customHeight="1">
      <c r="A16" s="46"/>
      <c r="B16" s="46"/>
      <c r="C16" s="46"/>
      <c r="D16" s="172"/>
      <c r="E16" s="173"/>
    </row>
    <row r="17" spans="1:5" ht="12.75" customHeight="1">
      <c r="A17" s="46"/>
      <c r="B17" s="46"/>
      <c r="C17" s="46"/>
      <c r="D17" s="46"/>
      <c r="E17" s="174"/>
    </row>
    <row r="18" spans="1:5" ht="12.75" customHeight="1">
      <c r="A18" s="46"/>
      <c r="B18" s="46"/>
      <c r="C18" s="46"/>
      <c r="D18" s="46"/>
      <c r="E18" s="175"/>
    </row>
    <row r="19" spans="1:5" ht="12.75" customHeight="1">
      <c r="A19" s="46"/>
      <c r="B19" s="46"/>
      <c r="C19" s="46"/>
      <c r="D19" s="46"/>
      <c r="E19" s="176"/>
    </row>
    <row r="20" ht="12.75" customHeight="1">
      <c r="E20" s="177"/>
    </row>
    <row r="21" ht="12.75" customHeight="1">
      <c r="E21" s="177"/>
    </row>
    <row r="22" ht="12.75" customHeight="1">
      <c r="E22" s="177"/>
    </row>
    <row r="23" spans="1:5" ht="12.75" customHeight="1">
      <c r="A23" s="4">
        <f>A15+1</f>
        <v>5</v>
      </c>
      <c r="C23" s="178">
        <v>0.1</v>
      </c>
      <c r="D23" s="4" t="s">
        <v>280</v>
      </c>
      <c r="E23" s="179">
        <f>ROUND($E$15*C23,2)</f>
        <v>14.61</v>
      </c>
    </row>
    <row r="24" ht="12.75" customHeight="1">
      <c r="C24" s="15"/>
    </row>
    <row r="25" spans="1:5" ht="12.75" customHeight="1">
      <c r="A25" s="4">
        <f>A23+1</f>
        <v>6</v>
      </c>
      <c r="C25" s="178">
        <v>0.2</v>
      </c>
      <c r="D25" s="4" t="s">
        <v>280</v>
      </c>
      <c r="E25" s="179">
        <f>ROUND($E$15*C25,2)</f>
        <v>29.22</v>
      </c>
    </row>
    <row r="26" ht="12.75" customHeight="1">
      <c r="C26" s="15"/>
    </row>
    <row r="27" spans="1:5" ht="12.75" customHeight="1">
      <c r="A27" s="4">
        <f>A25+1</f>
        <v>7</v>
      </c>
      <c r="C27" s="178">
        <v>0.3</v>
      </c>
      <c r="D27" s="4" t="s">
        <v>280</v>
      </c>
      <c r="E27" s="179">
        <f>ROUND($E$15*C27,2)</f>
        <v>43.83</v>
      </c>
    </row>
    <row r="28" ht="12.75" customHeight="1">
      <c r="C28" s="15"/>
    </row>
    <row r="29" spans="1:5" ht="12.75" customHeight="1">
      <c r="A29" s="4">
        <f>A27+1</f>
        <v>8</v>
      </c>
      <c r="C29" s="178">
        <v>0.4</v>
      </c>
      <c r="D29" s="4" t="s">
        <v>280</v>
      </c>
      <c r="E29" s="179">
        <f>ROUND($E$15*C29,2)</f>
        <v>58.44</v>
      </c>
    </row>
    <row r="30" ht="12.75" customHeight="1">
      <c r="C30" s="15"/>
    </row>
    <row r="31" spans="1:5" ht="12.75" customHeight="1">
      <c r="A31" s="4">
        <f>A29+1</f>
        <v>9</v>
      </c>
      <c r="C31" s="178">
        <v>0.5</v>
      </c>
      <c r="D31" s="4" t="s">
        <v>280</v>
      </c>
      <c r="E31" s="179">
        <f>ROUND($E$15*C31,2)</f>
        <v>73.05</v>
      </c>
    </row>
    <row r="32" ht="12.75" customHeight="1">
      <c r="C32" s="15"/>
    </row>
    <row r="33" spans="1:5" ht="12.75" customHeight="1">
      <c r="A33" s="4">
        <f>A31+1</f>
        <v>10</v>
      </c>
      <c r="C33" s="178">
        <v>0.6</v>
      </c>
      <c r="D33" s="4" t="s">
        <v>280</v>
      </c>
      <c r="E33" s="179">
        <f>ROUND($E$15*C33,2)</f>
        <v>87.66</v>
      </c>
    </row>
    <row r="34" ht="12.75" customHeight="1">
      <c r="C34" s="15"/>
    </row>
    <row r="35" spans="1:5" ht="12.75" customHeight="1">
      <c r="A35" s="4">
        <f>A33+1</f>
        <v>11</v>
      </c>
      <c r="C35" s="178">
        <v>0.7</v>
      </c>
      <c r="D35" s="4" t="s">
        <v>280</v>
      </c>
      <c r="E35" s="179">
        <f>ROUND($E$15*C35,2)</f>
        <v>102.27</v>
      </c>
    </row>
    <row r="36" spans="3:4" ht="12.75" customHeight="1">
      <c r="C36" s="15"/>
      <c r="D36" s="4" t="s">
        <v>284</v>
      </c>
    </row>
    <row r="37" spans="1:5" ht="12.75" customHeight="1">
      <c r="A37" s="4">
        <f>A35+1</f>
        <v>12</v>
      </c>
      <c r="C37" s="178">
        <v>0.8</v>
      </c>
      <c r="D37" s="4" t="s">
        <v>280</v>
      </c>
      <c r="E37" s="179">
        <f>ROUND($E$15*C37,2)</f>
        <v>116.88</v>
      </c>
    </row>
    <row r="38" ht="12.75" customHeight="1">
      <c r="C38" s="15"/>
    </row>
    <row r="39" spans="1:5" ht="12.75" customHeight="1">
      <c r="A39" s="4">
        <f>A37+1</f>
        <v>13</v>
      </c>
      <c r="C39" s="178">
        <v>0.9</v>
      </c>
      <c r="D39" s="4" t="s">
        <v>280</v>
      </c>
      <c r="E39" s="179">
        <f>ROUND($E$15*C39,2)</f>
        <v>131.49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NiSource</cp:lastModifiedBy>
  <dcterms:created xsi:type="dcterms:W3CDTF">2009-02-16T14:41:07Z</dcterms:created>
  <dcterms:modified xsi:type="dcterms:W3CDTF">2009-02-16T15:21:12Z</dcterms:modified>
  <cp:category/>
  <cp:version/>
  <cp:contentType/>
  <cp:contentStatus/>
</cp:coreProperties>
</file>