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umm File" sheetId="1" r:id="rId1"/>
    <sheet name="Sched 1 File" sheetId="2" r:id="rId2"/>
    <sheet name="Sched 1A File" sheetId="3" r:id="rId3"/>
    <sheet name="Sched 1B File" sheetId="4" r:id="rId4"/>
    <sheet name="Sched 2 File" sheetId="5" r:id="rId5"/>
    <sheet name="Sched 3 File" sheetId="6" r:id="rId6"/>
    <sheet name="Sched 4 File" sheetId="7" r:id="rId7"/>
    <sheet name="GTS Supplemental" sheetId="8" r:id="rId8"/>
  </sheets>
  <externalReferences>
    <externalReference r:id="rId11"/>
  </externalReferences>
  <definedNames>
    <definedName name="ACTUALS">'[1]Actuals Input'!$A$6:$AB$145</definedName>
    <definedName name="ADJUSTTABLE">'[1]Instruct &amp; Input'!$J$6:$M$134</definedName>
    <definedName name="ESTIMATEINJ">'[1]Actuals Input'!#REF!</definedName>
    <definedName name="ESTIMATES">'[1]Actuals Input'!#REF!</definedName>
    <definedName name="PIPTABLE">'[1]Instruct &amp; Input'!$G$6:$H$134</definedName>
    <definedName name="_xlnm.Print_Area" localSheetId="2">'Sched 1A File'!$A$1:$I$653</definedName>
    <definedName name="_xlnm.Print_Area" localSheetId="4">'Sched 2 File'!$A$1:$E$68</definedName>
    <definedName name="_xlnm.Print_Area" localSheetId="5">'Sched 3 File'!$A$1:$F$63</definedName>
    <definedName name="_xlnm.Print_Area" localSheetId="0">'Summ File'!$A$1:$F$47</definedName>
    <definedName name="raaabatable">'[1]Instruct &amp; Input'!$AB$5:$AH$46</definedName>
    <definedName name="sched1">'[1]Sched 1A Work'!#REF!</definedName>
    <definedName name="summary">'Summ File'!$A$1:$F$47</definedName>
    <definedName name="TABLE242">'[1]242 Input'!$A$6:$R$120</definedName>
  </definedNames>
  <calcPr fullCalcOnLoad="1"/>
</workbook>
</file>

<file path=xl/comments5.xml><?xml version="1.0" encoding="utf-8"?>
<comments xmlns="http://schemas.openxmlformats.org/spreadsheetml/2006/main">
  <authors>
    <author>NiSource</author>
  </authors>
  <commentList>
    <comment ref="E13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took out pip volumes
per larry martin EFFECTIVE 5/2006
</t>
        </r>
      </text>
    </comment>
  </commentList>
</comments>
</file>

<file path=xl/comments6.xml><?xml version="1.0" encoding="utf-8"?>
<comments xmlns="http://schemas.openxmlformats.org/spreadsheetml/2006/main">
  <authors>
    <author>Marianne Schuster</author>
    <author>NiSource</author>
  </authors>
  <commentList>
    <comment ref="F33" authorId="0">
      <text>
        <r>
          <rPr>
            <b/>
            <sz val="8"/>
            <rFont val="Tahoma"/>
            <family val="0"/>
          </rPr>
          <t>Marianne Schuster:</t>
        </r>
        <r>
          <rPr>
            <sz val="8"/>
            <rFont val="Tahoma"/>
            <family val="0"/>
          </rPr>
          <t xml:space="preserve">
this formula is different from April 2006 on, the November 2006 GCR needs columns D &amp; E udated to reflect this formula
</t>
        </r>
      </text>
    </comment>
    <comment ref="F43" authorId="1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Prior period billing adjustment (122,118.13) for Nov, 61,536.11 for Dec and 259,162.63 for Jan. Also, Regulatory Assessment Fee and Gas Storage Carrying Costs 191-4000-GCRRA-13600-YR2008, 191-4000-GCRCC-13600-YR2008</t>
        </r>
      </text>
    </comment>
  </commentList>
</comments>
</file>

<file path=xl/comments7.xml><?xml version="1.0" encoding="utf-8"?>
<comments xmlns="http://schemas.openxmlformats.org/spreadsheetml/2006/main">
  <authors>
    <author>NiSource</author>
  </authors>
  <commentList>
    <comment ref="H14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beginning May-07 do not include First year choice sales  due to GCR transition rider expired.</t>
        </r>
      </text>
    </comment>
  </commentList>
</comments>
</file>

<file path=xl/sharedStrings.xml><?xml version="1.0" encoding="utf-8"?>
<sst xmlns="http://schemas.openxmlformats.org/spreadsheetml/2006/main" count="998" uniqueCount="285">
  <si>
    <t>P U R C H A S E D  G A S  A D J U S T M E N T</t>
  </si>
  <si>
    <t>COLUMBIA GAS OF OHIO, INC.</t>
  </si>
  <si>
    <t>GAS COST RECOVERY RATE CALCULATI0N</t>
  </si>
  <si>
    <t>PARTICULARS</t>
  </si>
  <si>
    <t>PIPP</t>
  </si>
  <si>
    <t>Unit</t>
  </si>
  <si>
    <t>Amount</t>
  </si>
  <si>
    <t>Expected Gas Cost (EGC)</t>
  </si>
  <si>
    <t>$/Mcf</t>
  </si>
  <si>
    <t>PIPP Supplier Credit</t>
  </si>
  <si>
    <t>Supplier Refund &amp; Reconciliation Adjustment (RA)</t>
  </si>
  <si>
    <t>Actual Adjustment (AA)</t>
  </si>
  <si>
    <t>Gas Cost Recovery Rate (GCR) = EGC + RA + AA + BA</t>
  </si>
  <si>
    <t>Gas Cost Recovery Rate Effective Dates:</t>
  </si>
  <si>
    <t>to</t>
  </si>
  <si>
    <t>EXPECTED GAS COST SUMMARY CALCULATION</t>
  </si>
  <si>
    <t>Total Annual Expected Demand Gas Cost</t>
  </si>
  <si>
    <t>$</t>
  </si>
  <si>
    <t>Total Annual Demand Sales (excluding Choice volumes)</t>
  </si>
  <si>
    <t>Mcf</t>
  </si>
  <si>
    <t>Expected Gas Cost Demand Rate</t>
  </si>
  <si>
    <t>Total Annual Expected Other Gas Cost</t>
  </si>
  <si>
    <t>Total Annual Other Sales (excluding Choice volumes)</t>
  </si>
  <si>
    <t>Expected Gas Cost Other Rate</t>
  </si>
  <si>
    <t>PUCO Ordered Rate - Case No.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</si>
  <si>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</si>
  <si>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</si>
  <si>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</si>
  <si>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</si>
  <si>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</si>
  <si>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</si>
  <si>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</si>
  <si>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</si>
  <si>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</si>
  <si>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</si>
  <si>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THIS QUARTERLY REPORT FILED PURSUANT TO ORDER NO. 76-515-GA-ORD OF THE</t>
  </si>
  <si>
    <t>PUBLIC UTILITIES COMMISSION OF OHIO, DATED OCTOBER 18, 1979</t>
  </si>
  <si>
    <t>Date Filed:</t>
  </si>
  <si>
    <t>By:</t>
  </si>
  <si>
    <t>Title:</t>
  </si>
  <si>
    <t>Schedule I</t>
  </si>
  <si>
    <t>EXPECTED GAS COST RATE CALCULATION</t>
  </si>
  <si>
    <t>Details for the EGC Rate In Effect As Of</t>
  </si>
  <si>
    <t>And The</t>
  </si>
  <si>
    <t>Volume For The Twelve Month Period Ended</t>
  </si>
  <si>
    <t>Expected Gas Cost Amount ($)</t>
  </si>
  <si>
    <t>Supplier Name</t>
  </si>
  <si>
    <t>Demand</t>
  </si>
  <si>
    <t>Commodity</t>
  </si>
  <si>
    <t>Miscellaneous</t>
  </si>
  <si>
    <t>Total</t>
  </si>
  <si>
    <t>Primary Gas Suppliers</t>
  </si>
  <si>
    <t>(A)</t>
  </si>
  <si>
    <t>Interstate Pipeline Suppliers (Sched 1-A)</t>
  </si>
  <si>
    <t>Total Interstate Pipeline Suppliers</t>
  </si>
  <si>
    <t>GCR -Related % of Peak Day Requirement</t>
  </si>
  <si>
    <t>Total GCR - Related Interstate Pipeline Suppliers</t>
  </si>
  <si>
    <t>(B)</t>
  </si>
  <si>
    <t>Synthetic (Sched 1-A)</t>
  </si>
  <si>
    <t>(C)</t>
  </si>
  <si>
    <t>Other Gas Companies (Sched 1-B)</t>
  </si>
  <si>
    <t>(D)</t>
  </si>
  <si>
    <t>Ohio Producers (Sched 1-B)</t>
  </si>
  <si>
    <t>(E)</t>
  </si>
  <si>
    <t>Self-Help Arrangements (Sched 1-B)</t>
  </si>
  <si>
    <t>(F)</t>
  </si>
  <si>
    <t>Special Purchases (Sched 1-B)</t>
  </si>
  <si>
    <t>Total Primary Gas Suppliers</t>
  </si>
  <si>
    <t>Utility Production</t>
  </si>
  <si>
    <t>Total Utility Production (Details Attached)</t>
  </si>
  <si>
    <t>Includable Propane</t>
  </si>
  <si>
    <t>Peak Shaving (Details Attached)</t>
  </si>
  <si>
    <t>Volumetric (Details Attached)</t>
  </si>
  <si>
    <t>Total Includable Propane</t>
  </si>
  <si>
    <t>Total Expected Gas Cost Amount</t>
  </si>
  <si>
    <t>Schedule I-A</t>
  </si>
  <si>
    <t>PRIMARY GAS SUPPLIER / TRANSPORTER</t>
  </si>
  <si>
    <t>Supplier or Transporter Name</t>
  </si>
  <si>
    <t>Tariff Sheet Reference</t>
  </si>
  <si>
    <t>See Attached</t>
  </si>
  <si>
    <t>Effective Date of Tariff</t>
  </si>
  <si>
    <t>Rate Schedule Number:</t>
  </si>
  <si>
    <t>Type Gas Purchased</t>
  </si>
  <si>
    <t>x</t>
  </si>
  <si>
    <t>Natural</t>
  </si>
  <si>
    <t>Liquified</t>
  </si>
  <si>
    <t>Synthetic</t>
  </si>
  <si>
    <t>Unit Or Volume Type</t>
  </si>
  <si>
    <t>MCF</t>
  </si>
  <si>
    <t>Dekatherm</t>
  </si>
  <si>
    <t>Other__________</t>
  </si>
  <si>
    <t>Purchase Source</t>
  </si>
  <si>
    <t>Interstate</t>
  </si>
  <si>
    <t>Intrastate</t>
  </si>
  <si>
    <t>Unit Rate</t>
  </si>
  <si>
    <t>Twelve Month</t>
  </si>
  <si>
    <t>Expected Gas</t>
  </si>
  <si>
    <t>Particulars</t>
  </si>
  <si>
    <t>($ Per)</t>
  </si>
  <si>
    <t>Volume</t>
  </si>
  <si>
    <t>Cost Amount</t>
  </si>
  <si>
    <t xml:space="preserve"> </t>
  </si>
  <si>
    <t>Storage</t>
  </si>
  <si>
    <t>(DTH)</t>
  </si>
  <si>
    <t>Total Commodity</t>
  </si>
  <si>
    <t>FSS - Withdrawal</t>
  </si>
  <si>
    <t>Total Miscellaneous</t>
  </si>
  <si>
    <t>Total Expected Gas Cost of Primary Supplier/Transporter</t>
  </si>
  <si>
    <t>NOTE:</t>
  </si>
  <si>
    <t>If any rate shown above is different than the unit rate reported in</t>
  </si>
  <si>
    <t>previous quarterly reports, it has been indicated by an asterisk (*) and</t>
  </si>
  <si>
    <t>a copy of supplier tariff sheet has been attached.  If tariff sheet is not</t>
  </si>
  <si>
    <t>available, then a detailed explanation has been supplied.</t>
  </si>
  <si>
    <t>DERIVATION OF RESERVATION CHARGES</t>
  </si>
  <si>
    <t>SST</t>
  </si>
  <si>
    <t>FTS</t>
  </si>
  <si>
    <t>Columbia Gulf Transmission Co</t>
  </si>
  <si>
    <t>Total Demand</t>
  </si>
  <si>
    <t>Injection</t>
  </si>
  <si>
    <t>Withdrawal</t>
  </si>
  <si>
    <t>Panhandle Eastern Pipe Line Corp</t>
  </si>
  <si>
    <t>EFT - West End</t>
  </si>
  <si>
    <t>Crossroads Pipeline Company</t>
  </si>
  <si>
    <t>Per Contract</t>
  </si>
  <si>
    <t>North Coast Pipeline Company</t>
  </si>
  <si>
    <t>Tennessee Gas Pipeline Co</t>
  </si>
  <si>
    <t>Reserved for Future Use</t>
  </si>
  <si>
    <t>Firm Peaking Contracts</t>
  </si>
  <si>
    <t>Per Contracts</t>
  </si>
  <si>
    <t>Miscellaneous Contracts</t>
  </si>
  <si>
    <t>Schedule I-B</t>
  </si>
  <si>
    <t>OTHER PRIMARY GAS SUPPLIERS</t>
  </si>
  <si>
    <t>Twelve</t>
  </si>
  <si>
    <t>Rate</t>
  </si>
  <si>
    <t>Month</t>
  </si>
  <si>
    <t>($/MCF)</t>
  </si>
  <si>
    <t>($)</t>
  </si>
  <si>
    <t>Other Gas Companies</t>
  </si>
  <si>
    <t>Total Other Gas Companies</t>
  </si>
  <si>
    <t>Ohio Producers</t>
  </si>
  <si>
    <t>Various Producers                              *</t>
  </si>
  <si>
    <t>Total Ohio Producers</t>
  </si>
  <si>
    <t>Self-Help Arrangement</t>
  </si>
  <si>
    <t>Total Self-Help Arrangement</t>
  </si>
  <si>
    <t>Special Purchases</t>
  </si>
  <si>
    <t xml:space="preserve">Various Producers &amp; Transporters        * </t>
  </si>
  <si>
    <t>Total Special Purchases</t>
  </si>
  <si>
    <t>Schedule II</t>
  </si>
  <si>
    <t xml:space="preserve">P U R C H A S E D   G A S   A D J U S T M E N T </t>
  </si>
  <si>
    <t>SUPPLIER REFUND AND</t>
  </si>
  <si>
    <t>RECONCILIATION ADJUSTMENT</t>
  </si>
  <si>
    <t>DETAILS FOR THE THREE MONTH PERIOD ENDED</t>
  </si>
  <si>
    <t>UNIT</t>
  </si>
  <si>
    <t>AMOUNT</t>
  </si>
  <si>
    <t>Jurisdictional Sales:  Twelve Months Ended</t>
  </si>
  <si>
    <t>Note Beginning with 5/04 GCR, Include PIPP Volumes)</t>
  </si>
  <si>
    <t>Note Beginning with 5/06 GCR, Exclude PIPP Volumes)</t>
  </si>
  <si>
    <t>Total Sales:     Twelve Months Ended</t>
  </si>
  <si>
    <t xml:space="preserve">Note Beginning with 5/07 GCR, Exclude First Year Choice Volumes </t>
  </si>
  <si>
    <t>due to withdrawal of GCR Transition Rider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</si>
  <si>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</si>
  <si>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</si>
  <si>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</si>
  <si>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</si>
  <si>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 BA over 12 Months</t>
  </si>
  <si>
    <t>Total Jurisdictional Refund and Reconciliation Adjustment</t>
  </si>
  <si>
    <t>Interest Factor</t>
  </si>
  <si>
    <t>Refunds and Reconciliation Adjustment Including Interest</t>
  </si>
  <si>
    <t>Jurisdictional Sales:     Twelve Months Ended</t>
  </si>
  <si>
    <t>Current Supplier Refund And Reconciliation Adjustment</t>
  </si>
  <si>
    <t>DETAILS OF REFUNDS / ADJUSTMENTS</t>
  </si>
  <si>
    <t>RECEIVED / ORDERED DURING THE</t>
  </si>
  <si>
    <t>THREE MONTH PERIOD ENDED</t>
  </si>
  <si>
    <t>SUPPLIER REFUNDS RECEIVED DURING QUARTER</t>
  </si>
  <si>
    <t>Total Supplier Refunds</t>
  </si>
  <si>
    <t>RECONCILIATION ADJUSTMENTS ORDERED DURING QUARTER</t>
  </si>
  <si>
    <t>Total Reconciliation Adjustments</t>
  </si>
  <si>
    <t>Schedule III</t>
  </si>
  <si>
    <t>P U R C H A S E D   G A S   A D J U S T M E N T</t>
  </si>
  <si>
    <t>ACTUAL ADJUSTMENT</t>
  </si>
  <si>
    <t>MONTH</t>
  </si>
  <si>
    <t>Test Date</t>
  </si>
  <si>
    <t>SUPPLY VOLUME PER BOOKS</t>
  </si>
  <si>
    <t>Unaccounted For Gas (A)</t>
  </si>
  <si>
    <t>Other Volumes</t>
  </si>
  <si>
    <t>Total Supply Volumes</t>
  </si>
  <si>
    <t>Balance?</t>
  </si>
  <si>
    <t>source</t>
  </si>
  <si>
    <t>Banking &amp; Balancing</t>
  </si>
  <si>
    <t>======&gt;</t>
  </si>
  <si>
    <t>x:\coh\gcr\actualadj2000</t>
  </si>
  <si>
    <t>Transportation Supplemental Credits</t>
  </si>
  <si>
    <t>Agent Handling Fee Credits</t>
  </si>
  <si>
    <t>Gas Lost Due To Line Breakage</t>
  </si>
  <si>
    <t>Standby Demand Credits</t>
  </si>
  <si>
    <t>Columbia Gulf Capacity</t>
  </si>
  <si>
    <t>Other Cost</t>
  </si>
  <si>
    <t>Total Supply Cost</t>
  </si>
  <si>
    <t>Monthly Sales Volumes Excluding CHOICE</t>
  </si>
  <si>
    <t>Unit Book Cost (Supply $ / Sales Mcf)</t>
  </si>
  <si>
    <t>RECOVERY OF SUPPLY COSTS</t>
  </si>
  <si>
    <t>EGC In Effect For Month For Non-PIP Customers</t>
  </si>
  <si>
    <t>Monthly Sales To Non-PIP Customers</t>
  </si>
  <si>
    <t>Recovery Of Supply Costs From Non-PIP Customers</t>
  </si>
  <si>
    <t>EGC In Effect For Month For PIP Customers</t>
  </si>
  <si>
    <t>note… PIPP discount suspended 4/04</t>
  </si>
  <si>
    <t>Monthly Sales To PIP Customers</t>
  </si>
  <si>
    <t>note… PIPP discount unsuspended 4/06</t>
  </si>
  <si>
    <t xml:space="preserve">Recovery Of Supply Costs From PIP Customers </t>
  </si>
  <si>
    <t>Total Recovery Of Supply Costs</t>
  </si>
  <si>
    <t>Monthly Cost Difference</t>
  </si>
  <si>
    <t>Other</t>
  </si>
  <si>
    <t>Balance Adjustment (Schedule IV)</t>
  </si>
  <si>
    <t>Cost Difference For the Three Month Period</t>
  </si>
  <si>
    <t>Twelve Month Sales Ended</t>
  </si>
  <si>
    <t>CURRENT QUARTERLY ACTUAL ADJUSTMENT</t>
  </si>
  <si>
    <t>due to GCR Transition Rider withdrawal</t>
  </si>
  <si>
    <t>Schedule IV</t>
  </si>
  <si>
    <t>Attachment 1 of 3</t>
  </si>
  <si>
    <t>Attachment 2 of 3</t>
  </si>
  <si>
    <t>Attachment 3 of 3</t>
  </si>
  <si>
    <t>ATTACHMENT TO SCHEDULE IV</t>
  </si>
  <si>
    <t>BALANCE ADJUSTMENT</t>
  </si>
  <si>
    <t>BALANCE ADJUSTMENT FOR THE AA</t>
  </si>
  <si>
    <t>BALANCE ADJUSTMENT FOR THE RA</t>
  </si>
  <si>
    <t>BALANCE ADJUSTMENT FOR THE BA</t>
  </si>
  <si>
    <t>Details For The Three Month Period Ended</t>
  </si>
  <si>
    <t>Actual Adjustment</t>
  </si>
  <si>
    <t>Supplier Refund and Reconciliation Adjustment</t>
  </si>
  <si>
    <t>Balance Adjustment</t>
  </si>
  <si>
    <t>Amount Effective:</t>
  </si>
  <si>
    <t>through</t>
  </si>
  <si>
    <t>Cost difference between book and effective EGC as used to compute AA of the</t>
  </si>
  <si>
    <t>FIRST YEAR</t>
  </si>
  <si>
    <t>EFFECTIVE</t>
  </si>
  <si>
    <t>GCR in effect four quarters prior to the currently effective GCR.</t>
  </si>
  <si>
    <t>See</t>
  </si>
  <si>
    <t>MONTH/</t>
  </si>
  <si>
    <t>JURISDICTIONAL</t>
  </si>
  <si>
    <t>CHOICE</t>
  </si>
  <si>
    <t>ACTUAL</t>
  </si>
  <si>
    <t>Attachment</t>
  </si>
  <si>
    <t>YEAR</t>
  </si>
  <si>
    <t>SALES (1)</t>
  </si>
  <si>
    <t>SALES</t>
  </si>
  <si>
    <t>TOTAL</t>
  </si>
  <si>
    <t>ADJUSTMENT</t>
  </si>
  <si>
    <t>DISTRIBUTED</t>
  </si>
  <si>
    <t>Less:  Dollar amount resulting from the AA of __________ $/Mcf as used to compute</t>
  </si>
  <si>
    <t xml:space="preserve">MCF </t>
  </si>
  <si>
    <t>$/MCF</t>
  </si>
  <si>
    <t>the GCR in effect four quarters prior to the currently effective GCR  times</t>
  </si>
  <si>
    <t>the jurisdictional sales of _________________ Mcf for the period between the</t>
  </si>
  <si>
    <t>Page 1 of 3</t>
  </si>
  <si>
    <t>effective date of the current GCR rate and the effective date of the GCR rate</t>
  </si>
  <si>
    <t>in effect approximately one year prior to the current rate.</t>
  </si>
  <si>
    <t>Dollar amount of supplier and Commission ordered reconciliation adjustments</t>
  </si>
  <si>
    <t>as used to compute RA of the GCR in effect four quarters prior to the</t>
  </si>
  <si>
    <t>currently effective GCR.</t>
  </si>
  <si>
    <t>`````````````</t>
  </si>
  <si>
    <t>(1) (Includes PIPP volumes beginning 4/04).</t>
  </si>
  <si>
    <t>Less:  Dollar amount resulting from the unit rate for supplier refunds and</t>
  </si>
  <si>
    <t xml:space="preserve">     (Excludes PIPP volumes beginning 4/06).</t>
  </si>
  <si>
    <t>reconciliation adjustments of _________ $/Mcf as used to compute RA of the</t>
  </si>
  <si>
    <t xml:space="preserve">GCR in effect four quarters prior to the currently effective GCR times the </t>
  </si>
  <si>
    <t>Page 2 of 3</t>
  </si>
  <si>
    <t>jurisdictional sales of ______________ Mcf for the period between the</t>
  </si>
  <si>
    <t>Dollar amount of balance adjustment as used to compute BA of the GCR in effect</t>
  </si>
  <si>
    <t>one quarter prior to the currently effective GCR.</t>
  </si>
  <si>
    <t>Less:  Dollar amount resulting from the BA of __________$/Mcf as used to compute</t>
  </si>
  <si>
    <t>the GCR in effect one quarter prior to the currently effective GCR times the</t>
  </si>
  <si>
    <t>jurisdictional sales of _______________ Mcf for the period between the</t>
  </si>
  <si>
    <t>Page 3 of 3</t>
  </si>
  <si>
    <t>effective date of the current GCR rate and the effective date of the GCR</t>
  </si>
  <si>
    <t>rate in effect immediately prior to the current rate.</t>
  </si>
  <si>
    <t>TOTAL BALANCE ADJUSTMENT AMOUNT</t>
  </si>
  <si>
    <t>Development of Gas Transportation Service</t>
  </si>
  <si>
    <t>Supplemental Rates Based on GCR Dated</t>
  </si>
  <si>
    <t>Line</t>
  </si>
  <si>
    <t>No.</t>
  </si>
  <si>
    <t>Full Requirements Via TCO</t>
  </si>
  <si>
    <t>Demand EGC Costs</t>
  </si>
  <si>
    <t xml:space="preserve">Sales Mcf per GCR Filing </t>
  </si>
  <si>
    <t>Supplemental Demand Charge ( Line 2 / Line 3)</t>
  </si>
  <si>
    <t xml:space="preserve">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</si>
</sst>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00_);_(* \(#,##0.00000\);_(* &quot;-&quot;??_);_(@_)"/>
    <numFmt numFmtId="170" formatCode="#,##0.0000_);\(#,##0.0000\)"/>
    <numFmt numFmtId="171" formatCode="_(* #,##0.0000_);_(* \(#,##0.0000\);_(* &quot;-&quot;????_);_(@_)"/>
    <numFmt numFmtId="172" formatCode="_(* #,##0.000_);_(* \(#,##0.000\);_(* &quot;-&quot;????_);_(@_)"/>
    <numFmt numFmtId="173" formatCode="_(* #,##0.00_);_(* \(#,##0.00\);_(* &quot;-&quot;????_);_(@_)"/>
    <numFmt numFmtId="174" formatCode="_(* #,##0.0_);_(* \(#,##0.0\);_(* &quot;-&quot;????_);_(@_)"/>
    <numFmt numFmtId="175" formatCode="_(* #,##0_);_(* \(#,##0\);_(* &quot;-&quot;????_);_(@_)"/>
    <numFmt numFmtId="176" formatCode="mmmm\ d\,\ yyyy"/>
    <numFmt numFmtId="177" formatCode="0.0000"/>
    <numFmt numFmtId="178" formatCode=";;;"/>
    <numFmt numFmtId="179" formatCode="mmmm\-yy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mm/dd/yy"/>
    <numFmt numFmtId="183" formatCode="#,##0.0000"/>
    <numFmt numFmtId="184" formatCode="_(* #,##0.00000_);_(* \(#,##0.00000\);_(* &quot;-&quot;????_);_(@_)"/>
    <numFmt numFmtId="185" formatCode="0\¢"/>
    <numFmt numFmtId="186" formatCode="0.00000\¢"/>
    <numFmt numFmtId="187" formatCode="0.00\¢"/>
    <numFmt numFmtId="188" formatCode="_(* #,##0.00_);_(* \(#,##0.00\);_(* &quot;-&quot;_);_(@_)"/>
    <numFmt numFmtId="189" formatCode="0.0%"/>
    <numFmt numFmtId="190" formatCode="0.000%"/>
    <numFmt numFmtId="191" formatCode="_(* #,##0.000_);_(* \(#,##0.000\);_(* &quot;-&quot;???_);_(@_)"/>
    <numFmt numFmtId="192" formatCode="_(&quot;$&quot;* #,##0.0000_);_(&quot;$&quot;* \(#,##0.0000\);_(&quot;$&quot;* &quot;-&quot;??_);_(@_)"/>
    <numFmt numFmtId="193" formatCode="0.00000%"/>
    <numFmt numFmtId="194" formatCode="0.0"/>
    <numFmt numFmtId="195" formatCode="0.000"/>
    <numFmt numFmtId="196" formatCode="0.00_);\(0.00\)"/>
    <numFmt numFmtId="197" formatCode="0_);\(0\)"/>
    <numFmt numFmtId="198" formatCode="mmm\-yyyy"/>
    <numFmt numFmtId="199" formatCode="0.00000"/>
    <numFmt numFmtId="200" formatCode="m/dd/yyyy"/>
    <numFmt numFmtId="201" formatCode="m/d/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dd\-mmm\-yy"/>
    <numFmt numFmtId="206" formatCode="[$-409]dddd\,\ mmmm\ dd\,\ yyyy"/>
    <numFmt numFmtId="207" formatCode="[$-409]mmmm\-yy;@"/>
    <numFmt numFmtId="208" formatCode="[$€-2]\ #,##0.00_);[Red]\([$€-2]\ #,##0.00\)"/>
    <numFmt numFmtId="209" formatCode="_(* #,##0.0_);_(* \(#,##0.0\);_(* &quot;-&quot;?_);_(@_)"/>
    <numFmt numFmtId="210" formatCode="&quot;$&quot;#,##0.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1" fontId="0" fillId="0" borderId="0" xfId="0" applyNumberFormat="1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171" fontId="1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5" fontId="0" fillId="0" borderId="1" xfId="0" applyNumberForma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1" fontId="0" fillId="0" borderId="3" xfId="0" applyNumberFormat="1" applyBorder="1" applyAlignment="1">
      <alignment horizontal="center" vertical="center"/>
    </xf>
    <xf numFmtId="171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1" fontId="0" fillId="0" borderId="4" xfId="15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71" fontId="0" fillId="0" borderId="5" xfId="15" applyNumberFormat="1" applyBorder="1" applyAlignment="1">
      <alignment vertical="center"/>
    </xf>
    <xf numFmtId="171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15" fontId="0" fillId="0" borderId="0" xfId="0" applyNumberFormat="1" applyAlignment="1">
      <alignment horizontal="center" vertical="center"/>
    </xf>
    <xf numFmtId="171" fontId="0" fillId="0" borderId="1" xfId="0" applyNumberFormat="1" applyBorder="1" applyAlignment="1">
      <alignment horizontal="centerContinuous" vertical="center"/>
    </xf>
    <xf numFmtId="175" fontId="0" fillId="0" borderId="4" xfId="15" applyNumberFormat="1" applyBorder="1" applyAlignment="1">
      <alignment vertical="center"/>
    </xf>
    <xf numFmtId="175" fontId="0" fillId="0" borderId="4" xfId="15" applyNumberFormat="1" applyFont="1" applyBorder="1" applyAlignment="1">
      <alignment vertical="center"/>
    </xf>
    <xf numFmtId="171" fontId="8" fillId="0" borderId="4" xfId="15" applyNumberFormat="1" applyFont="1" applyBorder="1" applyAlignment="1">
      <alignment vertical="center"/>
    </xf>
    <xf numFmtId="171" fontId="0" fillId="0" borderId="4" xfId="15" applyNumberFormat="1" applyFont="1" applyBorder="1" applyAlignment="1">
      <alignment vertical="center"/>
    </xf>
    <xf numFmtId="171" fontId="0" fillId="0" borderId="2" xfId="15" applyNumberFormat="1" applyBorder="1" applyAlignment="1">
      <alignment vertical="center"/>
    </xf>
    <xf numFmtId="171" fontId="9" fillId="0" borderId="4" xfId="15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 quotePrefix="1">
      <alignment horizontal="left" vertical="center"/>
    </xf>
    <xf numFmtId="1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76" fontId="0" fillId="0" borderId="1" xfId="0" applyNumberFormat="1" applyFont="1" applyBorder="1" applyAlignment="1" quotePrefix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68" fontId="0" fillId="0" borderId="11" xfId="15" applyNumberFormat="1" applyBorder="1" applyAlignment="1">
      <alignment vertical="center"/>
    </xf>
    <xf numFmtId="168" fontId="0" fillId="0" borderId="11" xfId="15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8" fontId="0" fillId="0" borderId="16" xfId="15" applyNumberFormat="1" applyBorder="1" applyAlignment="1">
      <alignment vertical="center"/>
    </xf>
    <xf numFmtId="10" fontId="0" fillId="0" borderId="11" xfId="15" applyNumberFormat="1" applyBorder="1" applyAlignment="1">
      <alignment vertical="center"/>
    </xf>
    <xf numFmtId="168" fontId="0" fillId="0" borderId="16" xfId="15" applyNumberFormat="1" applyFont="1" applyBorder="1" applyAlignment="1">
      <alignment vertical="center"/>
    </xf>
    <xf numFmtId="168" fontId="0" fillId="0" borderId="0" xfId="15" applyNumberFormat="1" applyAlignment="1">
      <alignment vertical="center"/>
    </xf>
    <xf numFmtId="168" fontId="0" fillId="0" borderId="0" xfId="15" applyNumberFormat="1" applyBorder="1" applyAlignment="1">
      <alignment vertical="center"/>
    </xf>
    <xf numFmtId="168" fontId="0" fillId="0" borderId="4" xfId="15" applyNumberFormat="1" applyBorder="1" applyAlignment="1">
      <alignment vertical="center"/>
    </xf>
    <xf numFmtId="168" fontId="0" fillId="0" borderId="17" xfId="15" applyNumberFormat="1" applyBorder="1" applyAlignment="1">
      <alignment vertical="center"/>
    </xf>
    <xf numFmtId="168" fontId="0" fillId="0" borderId="1" xfId="15" applyNumberFormat="1" applyBorder="1" applyAlignment="1">
      <alignment vertical="center"/>
    </xf>
    <xf numFmtId="168" fontId="0" fillId="0" borderId="9" xfId="15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68" fontId="0" fillId="0" borderId="12" xfId="15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168" fontId="0" fillId="0" borderId="10" xfId="15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66" fontId="0" fillId="0" borderId="12" xfId="15" applyNumberFormat="1" applyBorder="1" applyAlignment="1">
      <alignment horizontal="right" vertical="center"/>
    </xf>
    <xf numFmtId="168" fontId="0" fillId="0" borderId="12" xfId="15" applyNumberFormat="1" applyBorder="1" applyAlignment="1">
      <alignment horizontal="right" vertical="center"/>
    </xf>
    <xf numFmtId="168" fontId="0" fillId="0" borderId="4" xfId="15" applyNumberFormat="1" applyBorder="1" applyAlignment="1">
      <alignment horizontal="right" vertical="center"/>
    </xf>
    <xf numFmtId="168" fontId="8" fillId="0" borderId="12" xfId="15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66" fontId="0" fillId="0" borderId="0" xfId="15" applyNumberFormat="1" applyBorder="1" applyAlignment="1">
      <alignment horizontal="right" vertical="center"/>
    </xf>
    <xf numFmtId="168" fontId="0" fillId="0" borderId="0" xfId="15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168" fontId="0" fillId="0" borderId="18" xfId="15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66" fontId="0" fillId="0" borderId="19" xfId="15" applyNumberFormat="1" applyBorder="1" applyAlignment="1">
      <alignment vertical="center"/>
    </xf>
    <xf numFmtId="168" fontId="0" fillId="0" borderId="18" xfId="15" applyNumberFormat="1" applyBorder="1" applyAlignment="1">
      <alignment vertical="center"/>
    </xf>
    <xf numFmtId="166" fontId="0" fillId="0" borderId="12" xfId="15" applyNumberFormat="1" applyBorder="1" applyAlignment="1">
      <alignment vertical="center"/>
    </xf>
    <xf numFmtId="0" fontId="10" fillId="0" borderId="12" xfId="15" applyNumberFormat="1" applyFont="1" applyBorder="1" applyAlignment="1">
      <alignment horizontal="left" vertical="center"/>
    </xf>
    <xf numFmtId="168" fontId="0" fillId="0" borderId="4" xfId="15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66" fontId="0" fillId="0" borderId="18" xfId="15" applyNumberFormat="1" applyBorder="1" applyAlignment="1">
      <alignment vertical="center"/>
    </xf>
    <xf numFmtId="0" fontId="10" fillId="0" borderId="12" xfId="15" applyNumberFormat="1" applyFont="1" applyBorder="1" applyAlignment="1">
      <alignment vertical="center"/>
    </xf>
    <xf numFmtId="168" fontId="0" fillId="0" borderId="17" xfId="15" applyNumberFormat="1" applyFont="1" applyBorder="1" applyAlignment="1">
      <alignment vertical="center"/>
    </xf>
    <xf numFmtId="166" fontId="0" fillId="0" borderId="0" xfId="15" applyNumberFormat="1" applyAlignment="1">
      <alignment vertical="center"/>
    </xf>
    <xf numFmtId="166" fontId="0" fillId="0" borderId="1" xfId="15" applyNumberFormat="1" applyBorder="1" applyAlignment="1">
      <alignment vertical="center"/>
    </xf>
    <xf numFmtId="168" fontId="0" fillId="0" borderId="5" xfId="15" applyNumberFormat="1" applyBorder="1" applyAlignment="1">
      <alignment vertical="center"/>
    </xf>
    <xf numFmtId="168" fontId="8" fillId="0" borderId="0" xfId="15" applyNumberFormat="1" applyFont="1" applyAlignment="1">
      <alignment vertical="center"/>
    </xf>
    <xf numFmtId="168" fontId="0" fillId="0" borderId="0" xfId="15" applyNumberForma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68" fontId="1" fillId="0" borderId="0" xfId="15" applyNumberFormat="1" applyFont="1" applyAlignment="1">
      <alignment horizontal="centerContinuous" vertical="center"/>
    </xf>
    <xf numFmtId="176" fontId="0" fillId="0" borderId="0" xfId="0" applyNumberFormat="1" applyAlignment="1">
      <alignment horizontal="centerContinuous" vertical="center"/>
    </xf>
    <xf numFmtId="176" fontId="0" fillId="0" borderId="0" xfId="15" applyNumberFormat="1" applyAlignment="1">
      <alignment horizontal="centerContinuous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6" fontId="0" fillId="0" borderId="5" xfId="15" applyNumberFormat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168" fontId="0" fillId="0" borderId="3" xfId="15" applyNumberFormat="1" applyBorder="1" applyAlignment="1">
      <alignment horizontal="right" vertical="center"/>
    </xf>
    <xf numFmtId="166" fontId="0" fillId="0" borderId="12" xfId="15" applyNumberFormat="1" applyFont="1" applyBorder="1" applyAlignment="1">
      <alignment vertical="center"/>
    </xf>
    <xf numFmtId="168" fontId="0" fillId="0" borderId="12" xfId="15" applyNumberFormat="1" applyFont="1" applyBorder="1" applyAlignment="1">
      <alignment vertical="center"/>
    </xf>
    <xf numFmtId="168" fontId="0" fillId="0" borderId="4" xfId="15" applyNumberFormat="1" applyFont="1" applyBorder="1" applyAlignment="1">
      <alignment vertical="center"/>
    </xf>
    <xf numFmtId="168" fontId="0" fillId="0" borderId="20" xfId="15" applyNumberForma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66" fontId="9" fillId="0" borderId="11" xfId="15" applyNumberFormat="1" applyFont="1" applyBorder="1" applyAlignment="1">
      <alignment vertical="center"/>
    </xf>
    <xf numFmtId="168" fontId="9" fillId="0" borderId="11" xfId="15" applyNumberFormat="1" applyFont="1" applyBorder="1" applyAlignment="1">
      <alignment vertical="center"/>
    </xf>
    <xf numFmtId="168" fontId="0" fillId="0" borderId="2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66" fontId="0" fillId="0" borderId="11" xfId="15" applyNumberFormat="1" applyBorder="1" applyAlignment="1">
      <alignment vertical="center"/>
    </xf>
    <xf numFmtId="166" fontId="0" fillId="0" borderId="9" xfId="15" applyNumberFormat="1" applyBorder="1" applyAlignment="1">
      <alignment vertical="center"/>
    </xf>
    <xf numFmtId="168" fontId="0" fillId="0" borderId="9" xfId="0" applyNumberForma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68" fontId="8" fillId="0" borderId="11" xfId="15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68" fontId="11" fillId="0" borderId="11" xfId="15" applyNumberFormat="1" applyFont="1" applyBorder="1" applyAlignment="1">
      <alignment vertical="center"/>
    </xf>
    <xf numFmtId="168" fontId="0" fillId="0" borderId="2" xfId="15" applyNumberFormat="1" applyBorder="1" applyAlignment="1">
      <alignment vertical="center"/>
    </xf>
    <xf numFmtId="0" fontId="12" fillId="0" borderId="0" xfId="0" applyFont="1" applyAlignment="1" quotePrefix="1">
      <alignment horizontal="center" vertical="center"/>
    </xf>
    <xf numFmtId="166" fontId="0" fillId="0" borderId="2" xfId="15" applyNumberFormat="1" applyBorder="1" applyAlignment="1">
      <alignment vertical="center"/>
    </xf>
    <xf numFmtId="166" fontId="11" fillId="0" borderId="11" xfId="15" applyNumberFormat="1" applyFont="1" applyBorder="1" applyAlignment="1">
      <alignment vertical="center"/>
    </xf>
    <xf numFmtId="168" fontId="9" fillId="0" borderId="9" xfId="15" applyNumberFormat="1" applyFon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 quotePrefix="1">
      <alignment vertical="center"/>
    </xf>
    <xf numFmtId="168" fontId="0" fillId="0" borderId="0" xfId="15" applyNumberForma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9" xfId="15" applyNumberFormat="1" applyBorder="1" applyAlignment="1">
      <alignment horizontal="center" vertical="center"/>
    </xf>
    <xf numFmtId="181" fontId="0" fillId="0" borderId="0" xfId="17" applyNumberFormat="1" applyAlignment="1">
      <alignment vertical="center"/>
    </xf>
    <xf numFmtId="168" fontId="0" fillId="0" borderId="11" xfId="15" applyNumberFormat="1" applyBorder="1" applyAlignment="1">
      <alignment horizontal="center" vertical="center"/>
    </xf>
    <xf numFmtId="1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168" fontId="11" fillId="0" borderId="0" xfId="15" applyNumberFormat="1" applyFont="1" applyAlignment="1">
      <alignment vertical="center"/>
    </xf>
    <xf numFmtId="0" fontId="11" fillId="0" borderId="0" xfId="0" applyFont="1" applyAlignment="1">
      <alignment vertical="center"/>
    </xf>
    <xf numFmtId="168" fontId="13" fillId="0" borderId="1" xfId="15" applyNumberFormat="1" applyFont="1" applyBorder="1" applyAlignment="1">
      <alignment vertical="center"/>
    </xf>
    <xf numFmtId="181" fontId="0" fillId="0" borderId="23" xfId="17" applyNumberFormat="1" applyBorder="1" applyAlignment="1">
      <alignment vertical="center"/>
    </xf>
    <xf numFmtId="168" fontId="0" fillId="0" borderId="11" xfId="15" applyNumberFormat="1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23" xfId="0" applyNumberFormat="1" applyBorder="1" applyAlignment="1">
      <alignment vertical="center"/>
    </xf>
    <xf numFmtId="168" fontId="0" fillId="2" borderId="11" xfId="15" applyNumberFormat="1" applyFill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7" fontId="0" fillId="0" borderId="0" xfId="15" applyNumberFormat="1" applyAlignment="1">
      <alignment vertical="center"/>
    </xf>
    <xf numFmtId="0" fontId="0" fillId="0" borderId="0" xfId="0" applyBorder="1" applyAlignment="1">
      <alignment horizontal="right" vertical="center"/>
    </xf>
    <xf numFmtId="169" fontId="0" fillId="0" borderId="0" xfId="15" applyNumberFormat="1" applyFont="1" applyBorder="1" applyAlignment="1">
      <alignment vertical="center"/>
    </xf>
    <xf numFmtId="187" fontId="0" fillId="0" borderId="0" xfId="15" applyNumberFormat="1" applyBorder="1" applyAlignment="1">
      <alignment vertical="center"/>
    </xf>
    <xf numFmtId="43" fontId="0" fillId="0" borderId="0" xfId="15" applyBorder="1" applyAlignment="1">
      <alignment vertical="center"/>
    </xf>
    <xf numFmtId="187" fontId="0" fillId="0" borderId="0" xfId="0" applyNumberFormat="1" applyBorder="1" applyAlignment="1">
      <alignment vertical="center"/>
    </xf>
    <xf numFmtId="43" fontId="0" fillId="0" borderId="0" xfId="0" applyNumberFormat="1" applyBorder="1" applyAlignment="1">
      <alignment vertical="center"/>
    </xf>
    <xf numFmtId="9" fontId="0" fillId="0" borderId="0" xfId="21" applyAlignment="1">
      <alignment horizontal="center" vertical="center"/>
    </xf>
    <xf numFmtId="187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66" fontId="0" fillId="0" borderId="0" xfId="15" applyNumberFormat="1" applyFont="1" applyFill="1" applyBorder="1" applyAlignment="1">
      <alignment/>
    </xf>
    <xf numFmtId="2" fontId="0" fillId="0" borderId="0" xfId="0" applyNumberFormat="1" applyFill="1" applyAlignment="1">
      <alignment vertical="center"/>
    </xf>
    <xf numFmtId="171" fontId="0" fillId="0" borderId="0" xfId="0" applyNumberForma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H\GCR\2009\May%2009\5-09%20Quarterly%20GCR%20Estimated%20Basis%205%20Day%20NYMEX%204-15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 &amp; Input"/>
      <sheetName val="Summ File"/>
      <sheetName val="Summ Work"/>
      <sheetName val="Sched 1 File"/>
      <sheetName val="Sched 1 Work"/>
      <sheetName val="Sched 1A File"/>
      <sheetName val="Sched 1A Work"/>
      <sheetName val="Sched 1B File"/>
      <sheetName val="Sched 2 File"/>
      <sheetName val="Sched 3 File"/>
      <sheetName val="Sched 4 File"/>
      <sheetName val="GTS Supplemental"/>
      <sheetName val="BTU Factor"/>
      <sheetName val="Volume Mix"/>
      <sheetName val="Sales &amp; CHOICE Volumes"/>
      <sheetName val="Actuals"/>
      <sheetName val="Estimates"/>
      <sheetName val="Demand"/>
      <sheetName val="Standby"/>
      <sheetName val="Commodity"/>
      <sheetName val="Non-Local with Hedging"/>
      <sheetName val="Wellhead"/>
      <sheetName val="NYMEX"/>
      <sheetName val="Misc &amp; Purch"/>
      <sheetName val="Local DTH"/>
      <sheetName val="B &amp; B"/>
      <sheetName val="Rates"/>
      <sheetName val="Commodity Input"/>
      <sheetName val="Actuals Input"/>
      <sheetName val="242 Input"/>
      <sheetName val="Scratch Pad"/>
      <sheetName val="WACOG"/>
      <sheetName val="Sheet8"/>
      <sheetName val="Sheet9"/>
      <sheetName val="Module2"/>
      <sheetName val="Module1"/>
    </sheetNames>
    <sheetDataSet>
      <sheetData sheetId="0">
        <row r="5">
          <cell r="V5" t="str">
            <v>PANHANDLE EASTERN PIPELINE COMPANY</v>
          </cell>
          <cell r="Y5">
            <v>-185.60999999999996</v>
          </cell>
          <cell r="AB5">
            <v>36129</v>
          </cell>
          <cell r="AC5">
            <v>-0.0044</v>
          </cell>
          <cell r="AD5">
            <v>0.1721</v>
          </cell>
          <cell r="AE5">
            <v>-0.2629</v>
          </cell>
          <cell r="AF5">
            <v>-674792</v>
          </cell>
          <cell r="AG5">
            <v>26206968</v>
          </cell>
          <cell r="AH5">
            <v>-17057944</v>
          </cell>
        </row>
        <row r="6">
          <cell r="G6">
            <v>36038</v>
          </cell>
          <cell r="J6">
            <v>36038</v>
          </cell>
          <cell r="K6">
            <v>2933362</v>
          </cell>
          <cell r="L6">
            <v>153124</v>
          </cell>
          <cell r="M6">
            <v>56139</v>
          </cell>
          <cell r="V6" t="str">
            <v>PANHANDLE EASTERN PIPELINE COMPANY</v>
          </cell>
          <cell r="Y6">
            <v>-246.18000000000004</v>
          </cell>
          <cell r="AB6">
            <v>36219</v>
          </cell>
          <cell r="AC6">
            <v>0</v>
          </cell>
          <cell r="AD6">
            <v>0.1706</v>
          </cell>
          <cell r="AE6">
            <v>-0.0446</v>
          </cell>
          <cell r="AF6">
            <v>0</v>
          </cell>
          <cell r="AG6">
            <v>25747966</v>
          </cell>
          <cell r="AH6">
            <v>-2696048</v>
          </cell>
        </row>
        <row r="7">
          <cell r="C7" t="str">
            <v>April 29, 2009</v>
          </cell>
          <cell r="G7">
            <v>36068</v>
          </cell>
          <cell r="J7">
            <v>36068</v>
          </cell>
          <cell r="K7">
            <v>2811779</v>
          </cell>
          <cell r="L7">
            <v>175546</v>
          </cell>
          <cell r="M7">
            <v>79299</v>
          </cell>
          <cell r="V7" t="str">
            <v>COLUMBIA GAS TRANSMISSION CORPORATION</v>
          </cell>
          <cell r="Y7">
            <v>-252310.2</v>
          </cell>
          <cell r="AB7">
            <v>36309</v>
          </cell>
          <cell r="AC7">
            <v>-0.0001</v>
          </cell>
          <cell r="AD7">
            <v>-0.0455</v>
          </cell>
          <cell r="AE7">
            <v>0.5168</v>
          </cell>
          <cell r="AF7">
            <v>-20291</v>
          </cell>
          <cell r="AG7">
            <v>-6495802</v>
          </cell>
          <cell r="AH7">
            <v>7734368</v>
          </cell>
        </row>
        <row r="8">
          <cell r="C8" t="str">
            <v>April 30, 2010</v>
          </cell>
          <cell r="G8">
            <v>36098</v>
          </cell>
          <cell r="J8">
            <v>36098</v>
          </cell>
          <cell r="K8">
            <v>4250397</v>
          </cell>
          <cell r="L8">
            <v>591464</v>
          </cell>
          <cell r="M8">
            <v>421177</v>
          </cell>
          <cell r="V8" t="str">
            <v>COLUMBIA GULF TRANSMISSION COMPANY</v>
          </cell>
          <cell r="Y8">
            <v>-4618.02</v>
          </cell>
          <cell r="AB8">
            <v>36399</v>
          </cell>
          <cell r="AC8">
            <v>-0.0026</v>
          </cell>
          <cell r="AD8">
            <v>-0.2128</v>
          </cell>
          <cell r="AE8">
            <v>-0.0108</v>
          </cell>
          <cell r="AF8">
            <v>-388185</v>
          </cell>
          <cell r="AG8">
            <v>-31349096</v>
          </cell>
          <cell r="AH8">
            <v>-113958</v>
          </cell>
        </row>
        <row r="9">
          <cell r="G9">
            <v>36128</v>
          </cell>
          <cell r="J9">
            <v>36128</v>
          </cell>
          <cell r="K9">
            <v>10144731</v>
          </cell>
          <cell r="L9">
            <v>1975127</v>
          </cell>
          <cell r="M9">
            <v>1559837</v>
          </cell>
          <cell r="V9" t="str">
            <v>PANHANDLE EASTERN PIPELINE COMPANY</v>
          </cell>
          <cell r="Y9">
            <v>-273.09</v>
          </cell>
          <cell r="AB9">
            <v>36489</v>
          </cell>
          <cell r="AC9">
            <v>-0.0061</v>
          </cell>
          <cell r="AD9">
            <v>0.172</v>
          </cell>
          <cell r="AE9">
            <v>-0.0436</v>
          </cell>
          <cell r="AF9">
            <v>-901122</v>
          </cell>
          <cell r="AG9">
            <v>25305788</v>
          </cell>
          <cell r="AH9">
            <v>-2475613</v>
          </cell>
        </row>
        <row r="10">
          <cell r="C10">
            <v>39932</v>
          </cell>
          <cell r="E10">
            <v>39961</v>
          </cell>
          <cell r="G10">
            <v>36158</v>
          </cell>
          <cell r="J10">
            <v>36158</v>
          </cell>
          <cell r="K10">
            <v>12973606</v>
          </cell>
          <cell r="L10">
            <v>3586950</v>
          </cell>
          <cell r="M10">
            <v>2999315</v>
          </cell>
          <cell r="V10" t="str">
            <v>TRUNKLINE PIPELINE</v>
          </cell>
          <cell r="Y10">
            <v>-36.6</v>
          </cell>
          <cell r="AB10">
            <v>36579</v>
          </cell>
          <cell r="AC10">
            <v>-0.0108</v>
          </cell>
          <cell r="AD10">
            <v>0.3936</v>
          </cell>
          <cell r="AE10">
            <v>0.0131</v>
          </cell>
          <cell r="AF10">
            <v>-1584203</v>
          </cell>
          <cell r="AG10">
            <v>57924865</v>
          </cell>
          <cell r="AH10">
            <v>850935</v>
          </cell>
        </row>
        <row r="11">
          <cell r="G11">
            <v>36188</v>
          </cell>
          <cell r="J11">
            <v>36188</v>
          </cell>
          <cell r="K11">
            <v>22165214</v>
          </cell>
          <cell r="L11">
            <v>8102344</v>
          </cell>
          <cell r="M11">
            <v>6971126</v>
          </cell>
          <cell r="V11" t="str">
            <v>COLUMBIA GAS TRANSMISSION CORPORATION</v>
          </cell>
          <cell r="AB11">
            <v>36669</v>
          </cell>
          <cell r="AC11">
            <v>-0.0096</v>
          </cell>
          <cell r="AD11">
            <v>-0.0712</v>
          </cell>
          <cell r="AE11">
            <v>0.1391</v>
          </cell>
          <cell r="AF11">
            <v>-1309833</v>
          </cell>
          <cell r="AG11">
            <v>-9686675</v>
          </cell>
          <cell r="AH11">
            <v>2056220</v>
          </cell>
        </row>
        <row r="12">
          <cell r="G12">
            <v>36218</v>
          </cell>
          <cell r="J12">
            <v>36218</v>
          </cell>
          <cell r="K12">
            <v>17093639</v>
          </cell>
          <cell r="L12">
            <v>7483213</v>
          </cell>
          <cell r="M12">
            <v>6465317</v>
          </cell>
          <cell r="V12" t="str">
            <v>TRUNKLINE PIPELINE</v>
          </cell>
          <cell r="AB12">
            <v>36759</v>
          </cell>
          <cell r="AC12">
            <v>-0.004</v>
          </cell>
          <cell r="AD12">
            <v>-0.4318</v>
          </cell>
          <cell r="AE12">
            <v>-0.0913</v>
          </cell>
          <cell r="AF12">
            <v>-478489</v>
          </cell>
          <cell r="AG12">
            <v>-51681785</v>
          </cell>
          <cell r="AH12">
            <v>-963912</v>
          </cell>
        </row>
        <row r="13">
          <cell r="G13">
            <v>36248</v>
          </cell>
          <cell r="J13">
            <v>36248</v>
          </cell>
          <cell r="K13">
            <v>17249238</v>
          </cell>
          <cell r="L13">
            <v>8496221</v>
          </cell>
          <cell r="M13">
            <v>7470481</v>
          </cell>
          <cell r="V13" t="str">
            <v>PANHANDLE EASTERN PIPELINE COMPANY</v>
          </cell>
          <cell r="AB13">
            <v>36849</v>
          </cell>
          <cell r="AC13">
            <v>0</v>
          </cell>
          <cell r="AD13">
            <v>0.3026</v>
          </cell>
          <cell r="AE13">
            <v>-0.1337</v>
          </cell>
          <cell r="AF13">
            <v>0</v>
          </cell>
          <cell r="AG13">
            <v>35090251</v>
          </cell>
          <cell r="AH13">
            <v>-6248134</v>
          </cell>
        </row>
        <row r="14">
          <cell r="G14">
            <v>36278</v>
          </cell>
          <cell r="J14">
            <v>36278</v>
          </cell>
          <cell r="K14">
            <v>11236801</v>
          </cell>
          <cell r="L14">
            <v>6172790</v>
          </cell>
          <cell r="M14">
            <v>5483531</v>
          </cell>
          <cell r="V14" t="str">
            <v>PANHANDLE EASTERN PIPELINE COMPANY</v>
          </cell>
          <cell r="AB14">
            <v>36939</v>
          </cell>
          <cell r="AC14">
            <v>0</v>
          </cell>
          <cell r="AD14">
            <v>0.1303</v>
          </cell>
          <cell r="AE14">
            <v>0.1163</v>
          </cell>
          <cell r="AF14">
            <v>0</v>
          </cell>
          <cell r="AG14">
            <v>14339301</v>
          </cell>
          <cell r="AH14">
            <v>5327330</v>
          </cell>
        </row>
        <row r="15">
          <cell r="G15">
            <v>36308</v>
          </cell>
          <cell r="H15">
            <v>227587</v>
          </cell>
          <cell r="J15">
            <v>36308</v>
          </cell>
          <cell r="K15">
            <v>4770211</v>
          </cell>
          <cell r="L15">
            <v>2985254</v>
          </cell>
          <cell r="M15">
            <v>2635538</v>
          </cell>
          <cell r="V15" t="str">
            <v>PANHANDLE EASTERN PIPELINE COMPANY</v>
          </cell>
          <cell r="AB15">
            <v>37029</v>
          </cell>
          <cell r="AC15">
            <v>0.1221</v>
          </cell>
          <cell r="AD15">
            <v>0.8629</v>
          </cell>
          <cell r="AE15">
            <v>0</v>
          </cell>
          <cell r="AF15">
            <v>13514945</v>
          </cell>
          <cell r="AG15">
            <v>95517615</v>
          </cell>
          <cell r="AH15">
            <v>0</v>
          </cell>
        </row>
        <row r="16">
          <cell r="G16">
            <v>36338</v>
          </cell>
          <cell r="H16">
            <v>125939</v>
          </cell>
          <cell r="J16">
            <v>36338</v>
          </cell>
          <cell r="K16">
            <v>2701561</v>
          </cell>
          <cell r="L16">
            <v>1702430</v>
          </cell>
          <cell r="M16">
            <v>1505746</v>
          </cell>
          <cell r="V16" t="str">
            <v>PANHANDLE EASTERN PIPELINE COMPANY</v>
          </cell>
          <cell r="AB16">
            <v>37119</v>
          </cell>
          <cell r="AC16">
            <v>0</v>
          </cell>
          <cell r="AD16">
            <v>-1.4316</v>
          </cell>
          <cell r="AE16">
            <v>-0.2334</v>
          </cell>
          <cell r="AF16">
            <v>0</v>
          </cell>
          <cell r="AG16">
            <v>-155251707</v>
          </cell>
          <cell r="AH16">
            <v>-1926733</v>
          </cell>
        </row>
        <row r="17">
          <cell r="G17">
            <v>36368</v>
          </cell>
          <cell r="H17">
            <v>89275</v>
          </cell>
          <cell r="J17">
            <v>36368</v>
          </cell>
          <cell r="K17">
            <v>2000106</v>
          </cell>
          <cell r="L17">
            <v>1311097</v>
          </cell>
          <cell r="M17">
            <v>1168115</v>
          </cell>
          <cell r="V17" t="str">
            <v>PANHANDLE EASTERN PIPELINE COMPANY</v>
          </cell>
          <cell r="AB17">
            <v>37209</v>
          </cell>
          <cell r="AC17">
            <v>-0.0029</v>
          </cell>
          <cell r="AD17">
            <v>-0.3525</v>
          </cell>
          <cell r="AE17">
            <v>-0.1199</v>
          </cell>
          <cell r="AF17">
            <v>-306462</v>
          </cell>
          <cell r="AG17">
            <v>-37683524</v>
          </cell>
          <cell r="AH17">
            <v>-5509291</v>
          </cell>
        </row>
        <row r="18">
          <cell r="G18">
            <v>36398</v>
          </cell>
          <cell r="H18">
            <v>73082</v>
          </cell>
          <cell r="J18">
            <v>36398</v>
          </cell>
          <cell r="K18">
            <v>1762863</v>
          </cell>
          <cell r="L18">
            <v>1147592</v>
          </cell>
          <cell r="M18">
            <v>1020555</v>
          </cell>
          <cell r="V18" t="str">
            <v>PANHANDLE EASTERN PIPELINE COMPANY</v>
          </cell>
          <cell r="AB18">
            <v>37299</v>
          </cell>
          <cell r="AC18">
            <v>0</v>
          </cell>
          <cell r="AD18">
            <v>0.6456</v>
          </cell>
          <cell r="AE18">
            <v>0.0644</v>
          </cell>
          <cell r="AF18">
            <v>0</v>
          </cell>
          <cell r="AG18">
            <v>68385012</v>
          </cell>
          <cell r="AH18">
            <v>2807549</v>
          </cell>
        </row>
        <row r="19">
          <cell r="G19">
            <v>36428</v>
          </cell>
          <cell r="H19">
            <v>64763</v>
          </cell>
          <cell r="J19">
            <v>36428</v>
          </cell>
          <cell r="K19">
            <v>1822285</v>
          </cell>
          <cell r="L19">
            <v>1196763</v>
          </cell>
          <cell r="M19">
            <v>1051958</v>
          </cell>
          <cell r="V19" t="str">
            <v>PANHANDLE EASTERN PIPELINE COMPANY</v>
          </cell>
          <cell r="AB19">
            <v>37389</v>
          </cell>
          <cell r="AC19">
            <v>0</v>
          </cell>
          <cell r="AD19">
            <v>0.5245</v>
          </cell>
          <cell r="AE19">
            <v>0.0732</v>
          </cell>
          <cell r="AF19">
            <v>0</v>
          </cell>
          <cell r="AG19">
            <v>49006257</v>
          </cell>
          <cell r="AH19">
            <v>667716</v>
          </cell>
        </row>
        <row r="20">
          <cell r="C20">
            <v>39506</v>
          </cell>
          <cell r="E20">
            <v>39836</v>
          </cell>
          <cell r="G20">
            <v>36458</v>
          </cell>
          <cell r="H20">
            <v>132512</v>
          </cell>
          <cell r="J20">
            <v>36458</v>
          </cell>
          <cell r="K20">
            <v>3329235</v>
          </cell>
          <cell r="L20">
            <v>2135512</v>
          </cell>
          <cell r="M20">
            <v>1575665</v>
          </cell>
          <cell r="V20" t="str">
            <v>COLUMBIA GULF TRANSMISSION COMPANY</v>
          </cell>
          <cell r="AB20">
            <v>37479</v>
          </cell>
          <cell r="AC20">
            <v>0.2443</v>
          </cell>
          <cell r="AD20">
            <v>-0.454</v>
          </cell>
          <cell r="AE20">
            <v>0</v>
          </cell>
          <cell r="AF20">
            <v>21922788</v>
          </cell>
          <cell r="AG20">
            <v>-40748157</v>
          </cell>
          <cell r="AH20">
            <v>0</v>
          </cell>
        </row>
        <row r="21">
          <cell r="E21">
            <v>39836</v>
          </cell>
          <cell r="G21">
            <v>36488</v>
          </cell>
          <cell r="H21">
            <v>271891</v>
          </cell>
          <cell r="J21">
            <v>36488</v>
          </cell>
          <cell r="K21">
            <v>6866083</v>
          </cell>
          <cell r="L21">
            <v>4474252</v>
          </cell>
          <cell r="M21">
            <v>2908960</v>
          </cell>
          <cell r="V21" t="str">
            <v>COLUMBIA GAS TRANSMISSION CORPORATION</v>
          </cell>
          <cell r="AB21">
            <v>37569</v>
          </cell>
          <cell r="AC21">
            <v>-0.0007</v>
          </cell>
          <cell r="AD21">
            <v>0.3327</v>
          </cell>
          <cell r="AE21">
            <v>-0.7095</v>
          </cell>
          <cell r="AF21">
            <v>-63336</v>
          </cell>
          <cell r="AG21">
            <v>30604138</v>
          </cell>
          <cell r="AH21">
            <v>-23747097</v>
          </cell>
        </row>
        <row r="22">
          <cell r="C22">
            <v>39776</v>
          </cell>
          <cell r="G22">
            <v>36518</v>
          </cell>
          <cell r="H22">
            <v>442644</v>
          </cell>
          <cell r="J22">
            <v>36518</v>
          </cell>
          <cell r="K22">
            <v>11093775</v>
          </cell>
          <cell r="L22">
            <v>7408898</v>
          </cell>
          <cell r="M22">
            <v>4007156</v>
          </cell>
          <cell r="V22" t="str">
            <v>COLUMBIA GAS TRANSMISSION CORPORATION</v>
          </cell>
          <cell r="AB22">
            <v>37659</v>
          </cell>
          <cell r="AC22">
            <v>-0.0409</v>
          </cell>
          <cell r="AD22">
            <v>0.4177</v>
          </cell>
          <cell r="AE22">
            <v>-0.1404</v>
          </cell>
          <cell r="AF22">
            <v>-3727781</v>
          </cell>
          <cell r="AG22">
            <v>38075617</v>
          </cell>
          <cell r="AH22">
            <v>-5598539</v>
          </cell>
        </row>
        <row r="23">
          <cell r="G23">
            <v>36548</v>
          </cell>
          <cell r="H23">
            <v>702379</v>
          </cell>
          <cell r="J23">
            <v>36548</v>
          </cell>
          <cell r="K23">
            <v>16865320</v>
          </cell>
          <cell r="L23">
            <v>11522948</v>
          </cell>
          <cell r="M23">
            <v>5001385</v>
          </cell>
          <cell r="V23" t="str">
            <v>COLUMBIA GAS TRANSMISSION CORPORATION</v>
          </cell>
          <cell r="AB23">
            <v>37749</v>
          </cell>
          <cell r="AC23">
            <v>-0.0024</v>
          </cell>
          <cell r="AD23">
            <v>0.4887</v>
          </cell>
          <cell r="AE23">
            <v>0.8922</v>
          </cell>
          <cell r="AF23">
            <v>-238864</v>
          </cell>
          <cell r="AG23">
            <v>49087527</v>
          </cell>
          <cell r="AH23">
            <v>10133076</v>
          </cell>
        </row>
        <row r="24">
          <cell r="C24">
            <v>39918</v>
          </cell>
          <cell r="G24">
            <v>36578</v>
          </cell>
          <cell r="H24">
            <v>787499</v>
          </cell>
          <cell r="J24">
            <v>36578</v>
          </cell>
          <cell r="K24">
            <v>18254956</v>
          </cell>
          <cell r="L24">
            <v>12771447</v>
          </cell>
          <cell r="M24">
            <v>4772006</v>
          </cell>
          <cell r="AB24">
            <v>37839</v>
          </cell>
          <cell r="AC24">
            <v>-0.0146</v>
          </cell>
          <cell r="AD24">
            <v>-0.5758</v>
          </cell>
          <cell r="AE24">
            <v>-0.9805</v>
          </cell>
          <cell r="AF24">
            <v>-1565111</v>
          </cell>
          <cell r="AG24">
            <v>-61791287</v>
          </cell>
          <cell r="AH24">
            <v>-6316408</v>
          </cell>
        </row>
        <row r="25">
          <cell r="C25" t="str">
            <v>Larry W. Martin</v>
          </cell>
          <cell r="G25">
            <v>36608</v>
          </cell>
          <cell r="H25">
            <v>514652</v>
          </cell>
          <cell r="J25">
            <v>36608</v>
          </cell>
          <cell r="K25">
            <v>11280553</v>
          </cell>
          <cell r="L25">
            <v>8245572</v>
          </cell>
          <cell r="M25">
            <v>2626095</v>
          </cell>
          <cell r="R25">
            <v>1.055</v>
          </cell>
          <cell r="AB25">
            <v>37929</v>
          </cell>
          <cell r="AC25">
            <v>0</v>
          </cell>
          <cell r="AD25">
            <v>-0.1409</v>
          </cell>
          <cell r="AE25">
            <v>0.1111</v>
          </cell>
          <cell r="AF25">
            <v>-1707</v>
          </cell>
          <cell r="AG25">
            <v>-14899115</v>
          </cell>
          <cell r="AH25">
            <v>4748055</v>
          </cell>
        </row>
        <row r="26">
          <cell r="C26" t="str">
            <v>Director, Regulatory Policy</v>
          </cell>
          <cell r="G26">
            <v>36638</v>
          </cell>
          <cell r="H26">
            <v>433450</v>
          </cell>
          <cell r="J26">
            <v>36638</v>
          </cell>
          <cell r="K26">
            <v>8750881</v>
          </cell>
          <cell r="L26">
            <v>6652857</v>
          </cell>
          <cell r="M26">
            <v>1867518</v>
          </cell>
          <cell r="AB26">
            <v>38019</v>
          </cell>
          <cell r="AC26">
            <v>-0.002</v>
          </cell>
          <cell r="AD26">
            <v>0.5191</v>
          </cell>
          <cell r="AE26">
            <v>-0.0801</v>
          </cell>
          <cell r="AF26">
            <v>-212847</v>
          </cell>
          <cell r="AG26">
            <v>55512913</v>
          </cell>
          <cell r="AH26">
            <v>-3747807</v>
          </cell>
        </row>
        <row r="27">
          <cell r="G27">
            <v>36668</v>
          </cell>
          <cell r="H27">
            <v>254463</v>
          </cell>
          <cell r="J27">
            <v>36668</v>
          </cell>
          <cell r="K27">
            <v>5092208</v>
          </cell>
          <cell r="L27">
            <v>3876535</v>
          </cell>
          <cell r="M27">
            <v>992487</v>
          </cell>
          <cell r="AB27">
            <v>38109</v>
          </cell>
          <cell r="AC27">
            <v>-0.0013</v>
          </cell>
          <cell r="AD27">
            <v>0.7576</v>
          </cell>
          <cell r="AE27">
            <v>-0.3107</v>
          </cell>
          <cell r="AF27">
            <v>-134555</v>
          </cell>
          <cell r="AG27">
            <v>81415576</v>
          </cell>
          <cell r="AH27">
            <v>-3247973</v>
          </cell>
        </row>
        <row r="28">
          <cell r="G28">
            <v>36698</v>
          </cell>
          <cell r="H28">
            <v>116830</v>
          </cell>
          <cell r="J28">
            <v>36698</v>
          </cell>
          <cell r="K28">
            <v>2460251</v>
          </cell>
          <cell r="L28">
            <v>1889944</v>
          </cell>
          <cell r="M28">
            <v>429501</v>
          </cell>
          <cell r="AB28">
            <v>38200</v>
          </cell>
          <cell r="AC28">
            <v>-0.004</v>
          </cell>
          <cell r="AD28">
            <v>-0.6412</v>
          </cell>
          <cell r="AE28">
            <v>0.0597</v>
          </cell>
          <cell r="AF28">
            <v>-422112</v>
          </cell>
          <cell r="AG28">
            <v>-67093536</v>
          </cell>
          <cell r="AH28">
            <v>484117</v>
          </cell>
        </row>
        <row r="29">
          <cell r="G29">
            <v>36728</v>
          </cell>
          <cell r="H29">
            <v>79527</v>
          </cell>
          <cell r="J29">
            <v>36728</v>
          </cell>
          <cell r="K29">
            <v>1856963</v>
          </cell>
          <cell r="L29">
            <v>1370605</v>
          </cell>
          <cell r="M29">
            <v>282468</v>
          </cell>
          <cell r="AB29">
            <v>38292</v>
          </cell>
          <cell r="AC29">
            <v>-0.0003</v>
          </cell>
          <cell r="AD29">
            <v>0.2551</v>
          </cell>
          <cell r="AE29">
            <v>0</v>
          </cell>
          <cell r="AF29">
            <v>-33747</v>
          </cell>
          <cell r="AG29">
            <v>24758388</v>
          </cell>
          <cell r="AH29">
            <v>0</v>
          </cell>
        </row>
        <row r="30">
          <cell r="G30">
            <v>36758</v>
          </cell>
          <cell r="H30">
            <v>74152</v>
          </cell>
          <cell r="J30">
            <v>36758</v>
          </cell>
          <cell r="K30">
            <v>1823155</v>
          </cell>
          <cell r="L30">
            <v>1319434</v>
          </cell>
          <cell r="M30">
            <v>271610</v>
          </cell>
          <cell r="AB30">
            <v>38384</v>
          </cell>
          <cell r="AC30">
            <v>-0.0004</v>
          </cell>
          <cell r="AD30">
            <v>0.3116</v>
          </cell>
          <cell r="AE30">
            <v>0</v>
          </cell>
          <cell r="AF30">
            <v>-45089</v>
          </cell>
          <cell r="AG30">
            <v>31931474</v>
          </cell>
          <cell r="AH30">
            <v>0</v>
          </cell>
        </row>
        <row r="31">
          <cell r="G31">
            <v>36788</v>
          </cell>
          <cell r="H31">
            <v>64847</v>
          </cell>
          <cell r="J31">
            <v>36788</v>
          </cell>
          <cell r="K31">
            <v>1919714</v>
          </cell>
          <cell r="L31">
            <v>1285758</v>
          </cell>
          <cell r="M31">
            <v>215335</v>
          </cell>
          <cell r="AB31">
            <v>38476</v>
          </cell>
          <cell r="AC31">
            <v>-0.0123</v>
          </cell>
          <cell r="AD31">
            <v>0.8729</v>
          </cell>
          <cell r="AE31">
            <v>0</v>
          </cell>
          <cell r="AF31">
            <v>-1264733</v>
          </cell>
          <cell r="AG31">
            <v>89852652</v>
          </cell>
          <cell r="AH31">
            <v>0</v>
          </cell>
        </row>
        <row r="32">
          <cell r="G32">
            <v>36818</v>
          </cell>
          <cell r="H32">
            <v>153879</v>
          </cell>
          <cell r="J32">
            <v>36818</v>
          </cell>
          <cell r="K32">
            <v>3895864</v>
          </cell>
          <cell r="L32">
            <v>2608980</v>
          </cell>
          <cell r="M32">
            <v>421233</v>
          </cell>
          <cell r="Y32">
            <v>4.86</v>
          </cell>
          <cell r="AB32">
            <v>38568</v>
          </cell>
          <cell r="AC32">
            <v>-0.0147</v>
          </cell>
          <cell r="AD32">
            <v>-0.323</v>
          </cell>
          <cell r="AE32">
            <v>0</v>
          </cell>
          <cell r="AF32">
            <v>-1525842</v>
          </cell>
          <cell r="AG32">
            <v>-33428861</v>
          </cell>
          <cell r="AH32">
            <v>0</v>
          </cell>
        </row>
        <row r="33">
          <cell r="G33">
            <v>36848</v>
          </cell>
          <cell r="H33">
            <v>226183</v>
          </cell>
          <cell r="J33">
            <v>36848</v>
          </cell>
          <cell r="K33">
            <v>6155405</v>
          </cell>
          <cell r="L33">
            <v>3885070</v>
          </cell>
          <cell r="M33">
            <v>614779</v>
          </cell>
          <cell r="Y33">
            <v>4.78</v>
          </cell>
          <cell r="AB33">
            <v>38660</v>
          </cell>
          <cell r="AC33">
            <v>0</v>
          </cell>
          <cell r="AD33">
            <v>-0.216</v>
          </cell>
          <cell r="AE33">
            <v>0</v>
          </cell>
          <cell r="AF33">
            <v>-1609</v>
          </cell>
          <cell r="AG33">
            <v>-21339689</v>
          </cell>
          <cell r="AH33">
            <v>0</v>
          </cell>
        </row>
        <row r="34">
          <cell r="G34">
            <v>36878</v>
          </cell>
          <cell r="H34">
            <v>585870</v>
          </cell>
          <cell r="J34">
            <v>36878</v>
          </cell>
          <cell r="K34">
            <v>15787798</v>
          </cell>
          <cell r="L34">
            <v>10058065</v>
          </cell>
          <cell r="M34">
            <v>1415005</v>
          </cell>
          <cell r="Y34">
            <v>3.59</v>
          </cell>
          <cell r="Z34" t="str">
            <v>Y</v>
          </cell>
          <cell r="AB34">
            <v>38752</v>
          </cell>
          <cell r="AC34">
            <v>0.0018</v>
          </cell>
          <cell r="AD34">
            <v>1.1954</v>
          </cell>
          <cell r="AE34">
            <v>0</v>
          </cell>
          <cell r="AF34">
            <v>178260</v>
          </cell>
          <cell r="AG34">
            <v>118914978</v>
          </cell>
          <cell r="AH34">
            <v>0</v>
          </cell>
        </row>
        <row r="35">
          <cell r="G35">
            <v>36908</v>
          </cell>
          <cell r="H35">
            <v>818057</v>
          </cell>
          <cell r="J35">
            <v>36908</v>
          </cell>
          <cell r="K35">
            <v>21995395</v>
          </cell>
          <cell r="L35">
            <v>13482989</v>
          </cell>
          <cell r="M35">
            <v>1617839</v>
          </cell>
          <cell r="AB35">
            <v>38844</v>
          </cell>
          <cell r="AC35">
            <v>-0.0048</v>
          </cell>
          <cell r="AD35">
            <v>0.5929</v>
          </cell>
          <cell r="AE35">
            <v>0</v>
          </cell>
          <cell r="AF35">
            <v>-437831</v>
          </cell>
          <cell r="AG35">
            <v>54571027</v>
          </cell>
          <cell r="AH35">
            <v>0</v>
          </cell>
        </row>
        <row r="36">
          <cell r="G36">
            <v>36938</v>
          </cell>
          <cell r="H36">
            <v>670060</v>
          </cell>
          <cell r="J36">
            <v>36938</v>
          </cell>
          <cell r="K36">
            <v>17014782</v>
          </cell>
          <cell r="L36">
            <v>10133339</v>
          </cell>
          <cell r="M36">
            <v>1006075</v>
          </cell>
          <cell r="AB36">
            <v>38936</v>
          </cell>
          <cell r="AC36">
            <v>-0.0048</v>
          </cell>
          <cell r="AD36">
            <v>-0.7782</v>
          </cell>
          <cell r="AE36">
            <v>0</v>
          </cell>
          <cell r="AF36">
            <v>-442739</v>
          </cell>
          <cell r="AG36">
            <v>-71737323</v>
          </cell>
          <cell r="AH36">
            <v>0</v>
          </cell>
        </row>
        <row r="37">
          <cell r="G37">
            <v>36968</v>
          </cell>
          <cell r="H37">
            <v>642200</v>
          </cell>
          <cell r="J37">
            <v>36968</v>
          </cell>
          <cell r="K37">
            <v>14998857</v>
          </cell>
          <cell r="L37">
            <v>9168920</v>
          </cell>
          <cell r="M37">
            <v>881107</v>
          </cell>
          <cell r="AB37">
            <v>39028</v>
          </cell>
          <cell r="AC37">
            <v>0</v>
          </cell>
          <cell r="AD37">
            <v>-0.6903</v>
          </cell>
          <cell r="AE37">
            <v>0</v>
          </cell>
          <cell r="AF37">
            <v>0</v>
          </cell>
          <cell r="AG37">
            <v>-53523654</v>
          </cell>
          <cell r="AH37">
            <v>0</v>
          </cell>
        </row>
        <row r="38">
          <cell r="G38">
            <v>36998</v>
          </cell>
          <cell r="H38">
            <v>514109</v>
          </cell>
          <cell r="J38">
            <v>36998</v>
          </cell>
          <cell r="K38">
            <v>10942129</v>
          </cell>
          <cell r="L38">
            <v>6857892</v>
          </cell>
          <cell r="M38">
            <v>559995</v>
          </cell>
          <cell r="AB38">
            <v>39120</v>
          </cell>
          <cell r="AC38">
            <v>0</v>
          </cell>
          <cell r="AD38">
            <v>0.4663</v>
          </cell>
          <cell r="AE38">
            <v>0</v>
          </cell>
          <cell r="AF38">
            <v>0</v>
          </cell>
          <cell r="AG38">
            <v>35594553</v>
          </cell>
          <cell r="AH38">
            <v>0</v>
          </cell>
        </row>
        <row r="39">
          <cell r="G39">
            <v>37028</v>
          </cell>
          <cell r="H39">
            <v>219377</v>
          </cell>
          <cell r="J39">
            <v>37028</v>
          </cell>
          <cell r="K39">
            <v>4223883</v>
          </cell>
          <cell r="L39">
            <v>2649327</v>
          </cell>
          <cell r="M39">
            <v>185775</v>
          </cell>
          <cell r="W39" t="str">
            <v>FSS - Injection</v>
          </cell>
          <cell r="Y39">
            <v>0.0153</v>
          </cell>
          <cell r="Z39" t="str">
            <v>N</v>
          </cell>
          <cell r="AB39">
            <v>39212</v>
          </cell>
          <cell r="AC39">
            <v>0</v>
          </cell>
          <cell r="AD39">
            <v>1.338</v>
          </cell>
          <cell r="AE39">
            <v>0</v>
          </cell>
          <cell r="AF39">
            <v>0</v>
          </cell>
          <cell r="AG39">
            <v>96981561</v>
          </cell>
          <cell r="AH39">
            <v>0</v>
          </cell>
        </row>
        <row r="40">
          <cell r="G40">
            <v>37058</v>
          </cell>
          <cell r="H40">
            <v>163716</v>
          </cell>
          <cell r="J40">
            <v>37058</v>
          </cell>
          <cell r="K40">
            <v>3026219</v>
          </cell>
          <cell r="L40">
            <v>1973001</v>
          </cell>
          <cell r="M40">
            <v>157444</v>
          </cell>
          <cell r="Z40" t="str">
            <v>N</v>
          </cell>
          <cell r="AB40">
            <v>39304</v>
          </cell>
          <cell r="AC40">
            <v>-0.0061</v>
          </cell>
          <cell r="AD40">
            <v>-0.2151</v>
          </cell>
          <cell r="AE40">
            <v>0</v>
          </cell>
          <cell r="AF40">
            <v>-444166</v>
          </cell>
          <cell r="AG40">
            <v>-15564996</v>
          </cell>
          <cell r="AH40">
            <v>0</v>
          </cell>
        </row>
        <row r="41">
          <cell r="G41">
            <v>37088</v>
          </cell>
          <cell r="H41">
            <v>100573</v>
          </cell>
          <cell r="J41">
            <v>37088</v>
          </cell>
          <cell r="K41">
            <v>1886306</v>
          </cell>
          <cell r="L41">
            <v>1233075</v>
          </cell>
          <cell r="M41">
            <v>126307</v>
          </cell>
          <cell r="W41" t="str">
            <v>IOS - Injection</v>
          </cell>
          <cell r="Y41">
            <v>0.0033</v>
          </cell>
          <cell r="Z41" t="str">
            <v>N</v>
          </cell>
          <cell r="AB41">
            <v>39396</v>
          </cell>
          <cell r="AC41">
            <v>0</v>
          </cell>
          <cell r="AD41">
            <v>-0.9029</v>
          </cell>
          <cell r="AE41">
            <v>0</v>
          </cell>
          <cell r="AF41">
            <v>-1115</v>
          </cell>
          <cell r="AG41">
            <v>-68154398</v>
          </cell>
          <cell r="AH41">
            <v>0</v>
          </cell>
        </row>
        <row r="42">
          <cell r="G42">
            <v>37118</v>
          </cell>
          <cell r="H42">
            <v>87963</v>
          </cell>
          <cell r="J42">
            <v>37118</v>
          </cell>
          <cell r="K42">
            <v>1722723</v>
          </cell>
          <cell r="L42">
            <v>1156810</v>
          </cell>
          <cell r="M42">
            <v>156964</v>
          </cell>
          <cell r="W42" t="str">
            <v>IOS - Withdrawal</v>
          </cell>
          <cell r="Y42">
            <v>0.0033</v>
          </cell>
          <cell r="Z42" t="str">
            <v>N</v>
          </cell>
          <cell r="AB42">
            <v>39488</v>
          </cell>
          <cell r="AC42">
            <v>0</v>
          </cell>
          <cell r="AD42">
            <v>-0.2216</v>
          </cell>
          <cell r="AE42">
            <v>0</v>
          </cell>
          <cell r="AF42">
            <v>-2134</v>
          </cell>
          <cell r="AG42">
            <v>-16750281</v>
          </cell>
          <cell r="AH42">
            <v>0</v>
          </cell>
        </row>
        <row r="43">
          <cell r="G43">
            <v>37148</v>
          </cell>
          <cell r="H43">
            <v>80549</v>
          </cell>
          <cell r="J43">
            <v>37148</v>
          </cell>
          <cell r="K43">
            <v>1724822</v>
          </cell>
          <cell r="L43">
            <v>1229940</v>
          </cell>
          <cell r="M43">
            <v>196605</v>
          </cell>
          <cell r="W43" t="str">
            <v>PS - Injection</v>
          </cell>
          <cell r="Y43">
            <v>0.0385</v>
          </cell>
          <cell r="Z43" t="str">
            <v>N</v>
          </cell>
          <cell r="AB43">
            <v>39580</v>
          </cell>
          <cell r="AC43">
            <v>-0.0041</v>
          </cell>
          <cell r="AD43">
            <v>1.1752</v>
          </cell>
          <cell r="AE43">
            <v>0</v>
          </cell>
          <cell r="AF43">
            <v>-322633</v>
          </cell>
          <cell r="AG43">
            <v>92485895</v>
          </cell>
          <cell r="AH43">
            <v>0</v>
          </cell>
        </row>
        <row r="44">
          <cell r="G44">
            <v>37178</v>
          </cell>
          <cell r="H44">
            <v>171947</v>
          </cell>
          <cell r="J44">
            <v>37178</v>
          </cell>
          <cell r="K44">
            <v>3410505</v>
          </cell>
          <cell r="L44">
            <v>2447839</v>
          </cell>
          <cell r="M44">
            <v>404226</v>
          </cell>
          <cell r="W44" t="str">
            <v>PS - Withdrawal</v>
          </cell>
          <cell r="Y44">
            <v>0.0385</v>
          </cell>
          <cell r="Z44" t="str">
            <v>N</v>
          </cell>
          <cell r="AB44">
            <v>39672</v>
          </cell>
          <cell r="AC44">
            <v>-0.0015</v>
          </cell>
          <cell r="AD44">
            <v>-0.6959</v>
          </cell>
          <cell r="AE44">
            <v>0</v>
          </cell>
          <cell r="AF44">
            <v>-112451</v>
          </cell>
          <cell r="AG44">
            <v>-51224976</v>
          </cell>
          <cell r="AH44">
            <v>0</v>
          </cell>
        </row>
        <row r="45">
          <cell r="G45">
            <v>37208</v>
          </cell>
          <cell r="H45">
            <v>333706</v>
          </cell>
          <cell r="J45">
            <v>37208</v>
          </cell>
          <cell r="K45">
            <v>6278935</v>
          </cell>
          <cell r="L45">
            <v>4485391</v>
          </cell>
          <cell r="M45">
            <v>777739</v>
          </cell>
          <cell r="W45" t="str">
            <v>GSS - Injection</v>
          </cell>
          <cell r="Y45">
            <v>0</v>
          </cell>
          <cell r="Z45" t="str">
            <v>N</v>
          </cell>
          <cell r="AB45">
            <v>39764</v>
          </cell>
          <cell r="AC45">
            <v>0</v>
          </cell>
          <cell r="AD45">
            <v>0.898</v>
          </cell>
          <cell r="AF45">
            <v>-1756</v>
          </cell>
          <cell r="AG45">
            <v>66814250</v>
          </cell>
        </row>
        <row r="46">
          <cell r="G46">
            <v>37238</v>
          </cell>
          <cell r="H46">
            <v>482773</v>
          </cell>
          <cell r="J46">
            <v>37238</v>
          </cell>
          <cell r="K46">
            <v>8755008</v>
          </cell>
          <cell r="L46">
            <v>6264943</v>
          </cell>
          <cell r="M46">
            <v>1130831</v>
          </cell>
          <cell r="W46" t="str">
            <v>GSS - Withdrawal</v>
          </cell>
          <cell r="Y46">
            <v>0</v>
          </cell>
          <cell r="Z46" t="str">
            <v>N</v>
          </cell>
          <cell r="AB46">
            <v>39856</v>
          </cell>
          <cell r="AC46">
            <v>-0.0001</v>
          </cell>
          <cell r="AD46">
            <v>-0.2374</v>
          </cell>
          <cell r="AF46">
            <v>-3947</v>
          </cell>
          <cell r="AG46">
            <v>-17657220</v>
          </cell>
        </row>
        <row r="47">
          <cell r="G47">
            <v>37268</v>
          </cell>
          <cell r="H47">
            <v>913047</v>
          </cell>
          <cell r="J47">
            <v>37268</v>
          </cell>
          <cell r="K47">
            <v>16140434</v>
          </cell>
          <cell r="L47">
            <v>11333233</v>
          </cell>
          <cell r="M47">
            <v>2114591</v>
          </cell>
        </row>
        <row r="48">
          <cell r="G48">
            <v>37298</v>
          </cell>
          <cell r="H48">
            <v>766961</v>
          </cell>
          <cell r="J48">
            <v>37298</v>
          </cell>
          <cell r="K48">
            <v>13241494</v>
          </cell>
          <cell r="L48">
            <v>9444762</v>
          </cell>
          <cell r="M48">
            <v>1775822</v>
          </cell>
        </row>
        <row r="49">
          <cell r="G49">
            <v>37328</v>
          </cell>
          <cell r="H49">
            <v>796620</v>
          </cell>
          <cell r="J49">
            <v>37328</v>
          </cell>
          <cell r="K49">
            <v>13530724</v>
          </cell>
          <cell r="L49">
            <v>9340101</v>
          </cell>
          <cell r="M49">
            <v>1656487</v>
          </cell>
        </row>
        <row r="50">
          <cell r="G50">
            <v>37358</v>
          </cell>
          <cell r="H50">
            <v>661209</v>
          </cell>
          <cell r="J50">
            <v>37358</v>
          </cell>
          <cell r="K50">
            <v>10622696</v>
          </cell>
          <cell r="L50">
            <v>7326091</v>
          </cell>
          <cell r="M50">
            <v>1281153</v>
          </cell>
        </row>
        <row r="51">
          <cell r="G51">
            <v>37388</v>
          </cell>
          <cell r="H51">
            <v>350728</v>
          </cell>
          <cell r="J51">
            <v>37388</v>
          </cell>
          <cell r="K51">
            <v>5548830</v>
          </cell>
          <cell r="L51">
            <v>3750652</v>
          </cell>
          <cell r="M51">
            <v>626189</v>
          </cell>
        </row>
        <row r="52">
          <cell r="C52">
            <v>39932</v>
          </cell>
          <cell r="G52">
            <v>37418</v>
          </cell>
          <cell r="H52">
            <v>209022</v>
          </cell>
          <cell r="J52">
            <v>37418</v>
          </cell>
          <cell r="K52">
            <v>3289540</v>
          </cell>
          <cell r="L52">
            <v>2472199</v>
          </cell>
          <cell r="M52">
            <v>358042</v>
          </cell>
        </row>
        <row r="53">
          <cell r="G53">
            <v>37448</v>
          </cell>
          <cell r="H53">
            <v>112697</v>
          </cell>
          <cell r="J53">
            <v>37448</v>
          </cell>
          <cell r="K53">
            <v>2016554</v>
          </cell>
          <cell r="L53">
            <v>1116055</v>
          </cell>
          <cell r="M53">
            <v>190599</v>
          </cell>
        </row>
        <row r="54">
          <cell r="G54">
            <v>37478</v>
          </cell>
          <cell r="H54">
            <v>87613</v>
          </cell>
          <cell r="J54">
            <v>37478</v>
          </cell>
          <cell r="K54">
            <v>1793275</v>
          </cell>
          <cell r="L54">
            <v>1112488</v>
          </cell>
          <cell r="M54">
            <v>143253</v>
          </cell>
        </row>
        <row r="55">
          <cell r="G55">
            <v>37508</v>
          </cell>
          <cell r="H55">
            <v>82790</v>
          </cell>
          <cell r="J55">
            <v>37508</v>
          </cell>
          <cell r="K55">
            <v>1820220</v>
          </cell>
          <cell r="L55">
            <v>1132261</v>
          </cell>
          <cell r="M55">
            <v>120224</v>
          </cell>
        </row>
        <row r="56">
          <cell r="G56">
            <v>37538</v>
          </cell>
          <cell r="H56">
            <v>123600</v>
          </cell>
          <cell r="J56">
            <v>37538</v>
          </cell>
          <cell r="K56">
            <v>2717866</v>
          </cell>
          <cell r="L56">
            <v>1654327</v>
          </cell>
          <cell r="M56">
            <v>141010</v>
          </cell>
        </row>
        <row r="57">
          <cell r="G57">
            <v>37568</v>
          </cell>
          <cell r="H57">
            <v>409882</v>
          </cell>
          <cell r="J57">
            <v>37568</v>
          </cell>
          <cell r="K57">
            <v>8602528</v>
          </cell>
          <cell r="L57">
            <v>5209698</v>
          </cell>
          <cell r="M57">
            <v>400973</v>
          </cell>
        </row>
        <row r="58">
          <cell r="G58">
            <v>37598</v>
          </cell>
          <cell r="H58">
            <v>737786</v>
          </cell>
          <cell r="J58">
            <v>37598</v>
          </cell>
          <cell r="K58">
            <v>15020478</v>
          </cell>
          <cell r="L58">
            <v>8895250</v>
          </cell>
          <cell r="M58">
            <v>659435</v>
          </cell>
        </row>
        <row r="59">
          <cell r="G59">
            <v>37628</v>
          </cell>
          <cell r="H59">
            <v>977047</v>
          </cell>
          <cell r="J59">
            <v>37628</v>
          </cell>
          <cell r="K59">
            <v>19321506</v>
          </cell>
          <cell r="L59">
            <v>11707601</v>
          </cell>
          <cell r="M59">
            <v>835551</v>
          </cell>
        </row>
        <row r="60">
          <cell r="G60">
            <v>37658</v>
          </cell>
          <cell r="H60">
            <v>1098272</v>
          </cell>
          <cell r="J60">
            <v>37658</v>
          </cell>
          <cell r="K60">
            <v>20512828</v>
          </cell>
          <cell r="L60">
            <v>12409663</v>
          </cell>
          <cell r="M60">
            <v>954077</v>
          </cell>
        </row>
        <row r="61">
          <cell r="G61">
            <v>37688</v>
          </cell>
          <cell r="H61">
            <v>1007680</v>
          </cell>
          <cell r="J61">
            <v>37688</v>
          </cell>
          <cell r="K61">
            <v>16483881</v>
          </cell>
          <cell r="L61">
            <v>11517722</v>
          </cell>
          <cell r="M61">
            <v>1598050</v>
          </cell>
        </row>
        <row r="62">
          <cell r="G62">
            <v>37718</v>
          </cell>
          <cell r="H62">
            <v>593029</v>
          </cell>
          <cell r="J62">
            <v>37718</v>
          </cell>
          <cell r="K62">
            <v>8433184</v>
          </cell>
          <cell r="L62">
            <v>7140797</v>
          </cell>
          <cell r="M62">
            <v>1483704</v>
          </cell>
        </row>
        <row r="63">
          <cell r="G63">
            <v>37748</v>
          </cell>
          <cell r="H63">
            <v>323840</v>
          </cell>
          <cell r="J63">
            <v>37748</v>
          </cell>
          <cell r="K63">
            <v>4281848</v>
          </cell>
          <cell r="L63">
            <v>3672132</v>
          </cell>
          <cell r="M63">
            <v>769476</v>
          </cell>
        </row>
        <row r="64">
          <cell r="G64">
            <v>37778</v>
          </cell>
          <cell r="H64">
            <v>219438</v>
          </cell>
          <cell r="J64">
            <v>37778</v>
          </cell>
          <cell r="K64">
            <v>2845886</v>
          </cell>
          <cell r="L64">
            <v>2482186</v>
          </cell>
          <cell r="M64">
            <v>516096</v>
          </cell>
        </row>
        <row r="65">
          <cell r="G65">
            <v>37808</v>
          </cell>
          <cell r="H65">
            <v>117268</v>
          </cell>
          <cell r="J65">
            <v>37808</v>
          </cell>
          <cell r="K65">
            <v>1742840</v>
          </cell>
          <cell r="L65">
            <v>1443183</v>
          </cell>
          <cell r="M65">
            <v>296872</v>
          </cell>
        </row>
        <row r="66">
          <cell r="G66">
            <v>37838</v>
          </cell>
          <cell r="H66">
            <v>102850</v>
          </cell>
          <cell r="J66">
            <v>37838</v>
          </cell>
          <cell r="K66">
            <v>1613073</v>
          </cell>
          <cell r="L66">
            <v>1414876</v>
          </cell>
          <cell r="M66">
            <v>331169</v>
          </cell>
        </row>
        <row r="67">
          <cell r="G67">
            <v>37868</v>
          </cell>
          <cell r="H67">
            <v>101134</v>
          </cell>
          <cell r="J67">
            <v>37868</v>
          </cell>
          <cell r="K67">
            <v>1681371</v>
          </cell>
          <cell r="L67">
            <v>1410328</v>
          </cell>
          <cell r="M67">
            <v>328075</v>
          </cell>
        </row>
        <row r="68">
          <cell r="G68">
            <v>37898</v>
          </cell>
          <cell r="H68">
            <v>230260</v>
          </cell>
          <cell r="J68">
            <v>37898</v>
          </cell>
          <cell r="K68">
            <v>3479525</v>
          </cell>
          <cell r="L68">
            <v>2978166</v>
          </cell>
          <cell r="M68">
            <v>675763</v>
          </cell>
        </row>
        <row r="69">
          <cell r="G69">
            <v>37928</v>
          </cell>
          <cell r="H69">
            <v>391800</v>
          </cell>
          <cell r="J69">
            <v>37928</v>
          </cell>
          <cell r="K69">
            <v>5897831</v>
          </cell>
          <cell r="L69">
            <v>4816979</v>
          </cell>
          <cell r="M69">
            <v>1057819</v>
          </cell>
        </row>
        <row r="70">
          <cell r="G70">
            <v>37958</v>
          </cell>
          <cell r="H70">
            <v>754974</v>
          </cell>
          <cell r="J70">
            <v>37958</v>
          </cell>
          <cell r="K70">
            <v>11404192</v>
          </cell>
          <cell r="L70">
            <v>9177055</v>
          </cell>
          <cell r="M70">
            <v>1998479</v>
          </cell>
        </row>
        <row r="71">
          <cell r="G71">
            <v>37988</v>
          </cell>
          <cell r="H71">
            <v>1110095</v>
          </cell>
          <cell r="J71">
            <v>37988</v>
          </cell>
          <cell r="K71">
            <v>16302058</v>
          </cell>
          <cell r="L71">
            <v>12878882</v>
          </cell>
          <cell r="M71">
            <v>2777291</v>
          </cell>
        </row>
        <row r="72">
          <cell r="G72">
            <v>38018</v>
          </cell>
          <cell r="H72">
            <v>1272871</v>
          </cell>
          <cell r="J72">
            <v>38018</v>
          </cell>
          <cell r="K72">
            <v>18083804</v>
          </cell>
          <cell r="L72">
            <v>14403116</v>
          </cell>
          <cell r="M72">
            <v>3240961</v>
          </cell>
        </row>
        <row r="73">
          <cell r="G73">
            <v>38048</v>
          </cell>
          <cell r="H73">
            <v>941985</v>
          </cell>
          <cell r="J73">
            <v>38048</v>
          </cell>
          <cell r="K73">
            <v>13143638</v>
          </cell>
          <cell r="L73">
            <v>10212301</v>
          </cell>
          <cell r="M73">
            <v>1793329</v>
          </cell>
        </row>
        <row r="74">
          <cell r="G74">
            <v>38078</v>
          </cell>
          <cell r="H74">
            <v>721707</v>
          </cell>
          <cell r="J74">
            <v>38078</v>
          </cell>
          <cell r="K74">
            <v>9549344</v>
          </cell>
          <cell r="L74">
            <v>7386609</v>
          </cell>
          <cell r="M74">
            <v>818884</v>
          </cell>
        </row>
        <row r="75">
          <cell r="G75">
            <v>38108</v>
          </cell>
          <cell r="H75">
            <v>334493</v>
          </cell>
          <cell r="J75">
            <v>38108</v>
          </cell>
          <cell r="K75">
            <v>4477548</v>
          </cell>
          <cell r="L75">
            <v>3458874</v>
          </cell>
          <cell r="M75">
            <v>351041</v>
          </cell>
        </row>
        <row r="76">
          <cell r="G76">
            <v>38139</v>
          </cell>
          <cell r="H76">
            <v>155910</v>
          </cell>
          <cell r="J76">
            <v>38139</v>
          </cell>
          <cell r="K76">
            <v>2132903</v>
          </cell>
          <cell r="L76">
            <v>1654135</v>
          </cell>
          <cell r="M76">
            <v>146133</v>
          </cell>
        </row>
        <row r="77">
          <cell r="G77">
            <v>38169</v>
          </cell>
          <cell r="H77">
            <v>122920</v>
          </cell>
          <cell r="J77">
            <v>38169</v>
          </cell>
          <cell r="K77">
            <v>1874315</v>
          </cell>
          <cell r="L77">
            <v>1426994</v>
          </cell>
          <cell r="M77">
            <v>114130</v>
          </cell>
        </row>
        <row r="78">
          <cell r="G78">
            <v>38200</v>
          </cell>
          <cell r="H78">
            <v>103577</v>
          </cell>
          <cell r="J78">
            <v>38200</v>
          </cell>
          <cell r="K78">
            <v>1716414</v>
          </cell>
          <cell r="L78">
            <v>1199701</v>
          </cell>
          <cell r="M78">
            <v>64750</v>
          </cell>
        </row>
        <row r="79">
          <cell r="G79">
            <v>38231</v>
          </cell>
          <cell r="H79">
            <v>101867</v>
          </cell>
          <cell r="J79">
            <v>38231</v>
          </cell>
          <cell r="K79">
            <v>1828142</v>
          </cell>
          <cell r="L79">
            <v>1287974</v>
          </cell>
          <cell r="M79">
            <v>67008</v>
          </cell>
        </row>
        <row r="80">
          <cell r="G80">
            <v>38262</v>
          </cell>
          <cell r="H80">
            <v>188742</v>
          </cell>
          <cell r="J80">
            <v>38262</v>
          </cell>
          <cell r="K80">
            <v>3050689</v>
          </cell>
          <cell r="L80">
            <v>2126438</v>
          </cell>
          <cell r="M80">
            <v>107199</v>
          </cell>
        </row>
        <row r="81">
          <cell r="G81">
            <v>38293</v>
          </cell>
          <cell r="H81">
            <v>373476</v>
          </cell>
          <cell r="J81">
            <v>38293</v>
          </cell>
          <cell r="K81">
            <v>5906453</v>
          </cell>
          <cell r="L81">
            <v>4342835</v>
          </cell>
          <cell r="M81">
            <v>329764</v>
          </cell>
        </row>
        <row r="82">
          <cell r="G82">
            <v>38324</v>
          </cell>
          <cell r="H82">
            <v>709888</v>
          </cell>
          <cell r="J82">
            <v>38324</v>
          </cell>
          <cell r="K82">
            <v>10996509</v>
          </cell>
          <cell r="L82">
            <v>7852345</v>
          </cell>
          <cell r="M82">
            <v>569716</v>
          </cell>
        </row>
        <row r="83">
          <cell r="G83">
            <v>38355</v>
          </cell>
          <cell r="H83">
            <v>1131413</v>
          </cell>
          <cell r="J83">
            <v>38355</v>
          </cell>
          <cell r="K83">
            <v>16560297</v>
          </cell>
          <cell r="L83">
            <v>11416846</v>
          </cell>
          <cell r="M83">
            <v>768058</v>
          </cell>
        </row>
        <row r="84">
          <cell r="G84">
            <v>38386</v>
          </cell>
          <cell r="H84">
            <v>1247332</v>
          </cell>
          <cell r="J84">
            <v>38386</v>
          </cell>
          <cell r="K84">
            <v>16451956</v>
          </cell>
          <cell r="L84">
            <v>11818672</v>
          </cell>
          <cell r="M84">
            <v>866054</v>
          </cell>
        </row>
        <row r="85">
          <cell r="G85">
            <v>38417</v>
          </cell>
          <cell r="H85">
            <v>1232854</v>
          </cell>
          <cell r="J85">
            <v>38417</v>
          </cell>
          <cell r="K85">
            <v>15090714</v>
          </cell>
          <cell r="L85">
            <v>10774358</v>
          </cell>
          <cell r="M85">
            <v>831053</v>
          </cell>
        </row>
        <row r="86">
          <cell r="G86">
            <v>38448</v>
          </cell>
          <cell r="H86">
            <v>833104</v>
          </cell>
          <cell r="J86">
            <v>38448</v>
          </cell>
          <cell r="K86">
            <v>10180872</v>
          </cell>
          <cell r="L86">
            <v>6608037</v>
          </cell>
          <cell r="M86">
            <v>494795</v>
          </cell>
        </row>
        <row r="87">
          <cell r="G87">
            <v>38479</v>
          </cell>
          <cell r="H87">
            <v>521576</v>
          </cell>
          <cell r="J87">
            <v>38479</v>
          </cell>
          <cell r="K87">
            <v>5910798</v>
          </cell>
          <cell r="L87">
            <v>3934680</v>
          </cell>
          <cell r="M87">
            <v>307225</v>
          </cell>
        </row>
        <row r="88">
          <cell r="G88">
            <v>38510</v>
          </cell>
          <cell r="H88">
            <v>243093</v>
          </cell>
          <cell r="J88">
            <v>38510</v>
          </cell>
          <cell r="K88">
            <v>2866965</v>
          </cell>
          <cell r="L88">
            <v>1792929</v>
          </cell>
          <cell r="M88">
            <v>136831</v>
          </cell>
        </row>
        <row r="89">
          <cell r="G89">
            <v>38541</v>
          </cell>
          <cell r="H89">
            <v>151722</v>
          </cell>
          <cell r="J89">
            <v>38541</v>
          </cell>
          <cell r="K89">
            <v>1730652</v>
          </cell>
          <cell r="L89">
            <v>1211953</v>
          </cell>
          <cell r="M89">
            <v>111375</v>
          </cell>
        </row>
        <row r="90">
          <cell r="G90">
            <v>38572</v>
          </cell>
          <cell r="H90">
            <v>122433</v>
          </cell>
          <cell r="J90">
            <v>38572</v>
          </cell>
          <cell r="K90">
            <v>1718216</v>
          </cell>
          <cell r="L90">
            <v>1091770</v>
          </cell>
          <cell r="M90">
            <v>98876</v>
          </cell>
        </row>
        <row r="91">
          <cell r="G91">
            <v>38603</v>
          </cell>
          <cell r="H91">
            <v>115874</v>
          </cell>
          <cell r="J91">
            <v>38603</v>
          </cell>
          <cell r="K91">
            <v>1700601</v>
          </cell>
          <cell r="L91">
            <v>1076454</v>
          </cell>
          <cell r="M91">
            <v>105087</v>
          </cell>
        </row>
        <row r="92">
          <cell r="G92">
            <v>38634</v>
          </cell>
          <cell r="H92">
            <v>160000</v>
          </cell>
          <cell r="J92">
            <v>38634</v>
          </cell>
          <cell r="K92">
            <v>2242778</v>
          </cell>
          <cell r="L92">
            <v>1484463</v>
          </cell>
          <cell r="M92">
            <v>154596</v>
          </cell>
        </row>
        <row r="93">
          <cell r="G93">
            <v>38665</v>
          </cell>
          <cell r="H93">
            <v>504967</v>
          </cell>
          <cell r="J93">
            <v>38665</v>
          </cell>
          <cell r="K93">
            <v>6351193</v>
          </cell>
          <cell r="L93">
            <v>4239810</v>
          </cell>
          <cell r="M93">
            <v>418981</v>
          </cell>
        </row>
        <row r="94">
          <cell r="G94">
            <v>38696</v>
          </cell>
          <cell r="H94">
            <v>1138524</v>
          </cell>
          <cell r="J94">
            <v>38696</v>
          </cell>
          <cell r="K94">
            <v>13855234</v>
          </cell>
          <cell r="L94">
            <v>8995313</v>
          </cell>
          <cell r="M94">
            <v>915203</v>
          </cell>
        </row>
        <row r="95">
          <cell r="G95">
            <v>38727</v>
          </cell>
          <cell r="H95">
            <v>1339072</v>
          </cell>
          <cell r="J95">
            <v>38727</v>
          </cell>
          <cell r="K95">
            <v>15648445</v>
          </cell>
          <cell r="L95">
            <v>10083768</v>
          </cell>
          <cell r="M95">
            <v>1073181</v>
          </cell>
        </row>
        <row r="96">
          <cell r="G96">
            <v>38758</v>
          </cell>
          <cell r="H96">
            <v>1247721</v>
          </cell>
          <cell r="J96">
            <v>38758</v>
          </cell>
          <cell r="K96">
            <v>13329003</v>
          </cell>
          <cell r="L96">
            <v>8588781</v>
          </cell>
          <cell r="M96">
            <v>769052</v>
          </cell>
        </row>
        <row r="97">
          <cell r="G97">
            <v>38789</v>
          </cell>
          <cell r="H97">
            <v>1326486</v>
          </cell>
          <cell r="J97">
            <v>38789</v>
          </cell>
          <cell r="K97">
            <v>13114729.4</v>
          </cell>
          <cell r="L97">
            <v>9142514</v>
          </cell>
          <cell r="M97">
            <v>1082198</v>
          </cell>
        </row>
        <row r="98">
          <cell r="G98">
            <v>38820</v>
          </cell>
          <cell r="H98">
            <v>931358</v>
          </cell>
          <cell r="J98">
            <v>38820</v>
          </cell>
          <cell r="K98">
            <v>7702611</v>
          </cell>
          <cell r="L98">
            <v>5994411</v>
          </cell>
          <cell r="M98">
            <v>688498</v>
          </cell>
        </row>
        <row r="99">
          <cell r="G99">
            <v>38851</v>
          </cell>
          <cell r="H99">
            <v>469389</v>
          </cell>
          <cell r="J99">
            <v>38851</v>
          </cell>
          <cell r="K99">
            <v>3647109</v>
          </cell>
          <cell r="L99">
            <v>2779026</v>
          </cell>
          <cell r="M99">
            <v>282813</v>
          </cell>
        </row>
        <row r="100">
          <cell r="G100">
            <v>38882</v>
          </cell>
          <cell r="H100">
            <v>259102</v>
          </cell>
          <cell r="J100">
            <v>38882</v>
          </cell>
          <cell r="K100">
            <v>2129822</v>
          </cell>
          <cell r="L100">
            <v>1638957</v>
          </cell>
          <cell r="M100">
            <v>164594</v>
          </cell>
        </row>
        <row r="101">
          <cell r="G101">
            <v>38913</v>
          </cell>
          <cell r="H101">
            <v>145510</v>
          </cell>
          <cell r="J101">
            <v>38913</v>
          </cell>
          <cell r="K101">
            <v>1489227</v>
          </cell>
          <cell r="L101">
            <v>1112765</v>
          </cell>
          <cell r="M101">
            <v>106518</v>
          </cell>
        </row>
        <row r="102">
          <cell r="G102">
            <v>38944</v>
          </cell>
          <cell r="H102">
            <v>141425.8</v>
          </cell>
          <cell r="J102">
            <v>38944</v>
          </cell>
          <cell r="K102">
            <v>1532905.2</v>
          </cell>
          <cell r="L102">
            <v>1077525</v>
          </cell>
          <cell r="M102">
            <v>98221</v>
          </cell>
        </row>
        <row r="103">
          <cell r="G103">
            <v>38975</v>
          </cell>
          <cell r="H103">
            <v>141252.9</v>
          </cell>
          <cell r="J103">
            <v>38975</v>
          </cell>
          <cell r="K103">
            <v>1538007.1</v>
          </cell>
          <cell r="L103">
            <v>1112287</v>
          </cell>
          <cell r="M103">
            <v>97829</v>
          </cell>
        </row>
        <row r="104">
          <cell r="G104">
            <v>39006</v>
          </cell>
          <cell r="H104">
            <v>297782.5</v>
          </cell>
          <cell r="J104">
            <v>39006</v>
          </cell>
          <cell r="K104">
            <v>2895421.5</v>
          </cell>
          <cell r="L104">
            <v>2235311</v>
          </cell>
          <cell r="M104">
            <v>210221</v>
          </cell>
        </row>
        <row r="105">
          <cell r="G105">
            <v>39037</v>
          </cell>
          <cell r="H105">
            <v>716973.9</v>
          </cell>
          <cell r="J105">
            <v>39037</v>
          </cell>
          <cell r="K105">
            <v>6787210.1</v>
          </cell>
          <cell r="L105">
            <v>5237213</v>
          </cell>
          <cell r="M105">
            <v>488640</v>
          </cell>
        </row>
        <row r="106">
          <cell r="G106">
            <v>39068</v>
          </cell>
          <cell r="H106">
            <v>1046116.6</v>
          </cell>
          <cell r="J106">
            <v>39068</v>
          </cell>
          <cell r="K106">
            <v>9405393.4</v>
          </cell>
          <cell r="L106">
            <v>7271898</v>
          </cell>
          <cell r="M106">
            <v>737988</v>
          </cell>
        </row>
        <row r="107">
          <cell r="G107">
            <v>39099</v>
          </cell>
          <cell r="H107">
            <v>1260426.6</v>
          </cell>
          <cell r="J107">
            <v>39099</v>
          </cell>
          <cell r="K107">
            <v>10246380.4</v>
          </cell>
          <cell r="L107">
            <v>9321689</v>
          </cell>
          <cell r="M107">
            <v>1236799</v>
          </cell>
        </row>
        <row r="108">
          <cell r="G108">
            <v>39130</v>
          </cell>
          <cell r="H108">
            <v>1854644.8</v>
          </cell>
          <cell r="J108">
            <v>39130</v>
          </cell>
          <cell r="K108">
            <v>14724758.2</v>
          </cell>
          <cell r="L108">
            <v>13276314</v>
          </cell>
          <cell r="M108">
            <v>1722783</v>
          </cell>
        </row>
        <row r="109">
          <cell r="G109">
            <v>39161</v>
          </cell>
          <cell r="H109">
            <v>1608905.6</v>
          </cell>
          <cell r="J109">
            <v>39161</v>
          </cell>
          <cell r="K109">
            <v>12969141.4</v>
          </cell>
          <cell r="L109">
            <v>11415861</v>
          </cell>
          <cell r="M109">
            <v>1260414</v>
          </cell>
        </row>
        <row r="110">
          <cell r="G110">
            <v>39192</v>
          </cell>
          <cell r="H110">
            <v>1003352.1</v>
          </cell>
          <cell r="J110">
            <v>39192</v>
          </cell>
          <cell r="K110">
            <v>7773239.9</v>
          </cell>
          <cell r="L110">
            <v>7092962</v>
          </cell>
          <cell r="M110">
            <v>813661</v>
          </cell>
        </row>
        <row r="111">
          <cell r="G111">
            <v>39223</v>
          </cell>
          <cell r="H111">
            <v>534733.7</v>
          </cell>
          <cell r="J111">
            <v>39223</v>
          </cell>
          <cell r="K111">
            <v>3922916.3</v>
          </cell>
          <cell r="L111">
            <v>3640652</v>
          </cell>
          <cell r="M111">
            <v>408543</v>
          </cell>
        </row>
        <row r="112">
          <cell r="G112">
            <v>39254</v>
          </cell>
          <cell r="H112">
            <v>241223.6</v>
          </cell>
          <cell r="J112">
            <v>39254</v>
          </cell>
          <cell r="K112">
            <v>1796615.4</v>
          </cell>
          <cell r="L112">
            <v>1686116</v>
          </cell>
          <cell r="M112">
            <v>0</v>
          </cell>
        </row>
        <row r="113">
          <cell r="G113">
            <v>39285</v>
          </cell>
          <cell r="H113">
            <v>177083.5</v>
          </cell>
          <cell r="J113">
            <v>39285</v>
          </cell>
          <cell r="K113">
            <v>1529302.5</v>
          </cell>
          <cell r="L113">
            <v>1351979</v>
          </cell>
          <cell r="M113">
            <v>0</v>
          </cell>
        </row>
        <row r="114">
          <cell r="G114">
            <v>39316</v>
          </cell>
          <cell r="H114">
            <v>142670</v>
          </cell>
          <cell r="J114">
            <v>39316</v>
          </cell>
          <cell r="K114">
            <v>1322229</v>
          </cell>
          <cell r="L114">
            <v>1247079</v>
          </cell>
          <cell r="M114">
            <v>0</v>
          </cell>
        </row>
        <row r="115">
          <cell r="G115">
            <v>39347</v>
          </cell>
          <cell r="H115">
            <v>147301.7</v>
          </cell>
          <cell r="J115">
            <v>39347</v>
          </cell>
          <cell r="K115">
            <v>1395702.3</v>
          </cell>
          <cell r="L115">
            <v>1266142</v>
          </cell>
          <cell r="M115">
            <v>0</v>
          </cell>
        </row>
        <row r="116">
          <cell r="G116">
            <v>39378</v>
          </cell>
          <cell r="H116">
            <v>190097.6</v>
          </cell>
          <cell r="J116">
            <v>39378</v>
          </cell>
          <cell r="K116">
            <v>1592882.4</v>
          </cell>
          <cell r="L116">
            <v>1493755</v>
          </cell>
          <cell r="M116">
            <v>0</v>
          </cell>
        </row>
        <row r="117">
          <cell r="G117">
            <v>39409</v>
          </cell>
          <cell r="H117">
            <v>640574.5</v>
          </cell>
          <cell r="J117">
            <v>39409</v>
          </cell>
          <cell r="K117">
            <v>5068719.5</v>
          </cell>
          <cell r="L117">
            <v>4516408</v>
          </cell>
          <cell r="M117">
            <v>0</v>
          </cell>
        </row>
        <row r="118">
          <cell r="G118">
            <v>39440</v>
          </cell>
          <cell r="H118">
            <v>1338898.5</v>
          </cell>
          <cell r="J118">
            <v>39440</v>
          </cell>
          <cell r="K118">
            <v>10230484.5</v>
          </cell>
          <cell r="L118">
            <v>9013270</v>
          </cell>
          <cell r="M118">
            <v>0</v>
          </cell>
        </row>
        <row r="119">
          <cell r="G119">
            <v>39471</v>
          </cell>
          <cell r="H119">
            <v>1694668.3</v>
          </cell>
          <cell r="J119">
            <v>39471</v>
          </cell>
          <cell r="K119">
            <v>12783246.7</v>
          </cell>
          <cell r="L119">
            <v>11146203</v>
          </cell>
          <cell r="M119">
            <v>0</v>
          </cell>
        </row>
        <row r="120">
          <cell r="G120">
            <v>39502</v>
          </cell>
          <cell r="H120">
            <v>1824780</v>
          </cell>
          <cell r="J120">
            <v>39502</v>
          </cell>
          <cell r="K120">
            <v>12978723</v>
          </cell>
          <cell r="L120">
            <v>11935701</v>
          </cell>
          <cell r="M120">
            <v>0</v>
          </cell>
        </row>
        <row r="121">
          <cell r="G121">
            <v>39533</v>
          </cell>
          <cell r="H121">
            <v>1839380</v>
          </cell>
          <cell r="J121">
            <v>39533</v>
          </cell>
          <cell r="K121">
            <v>12690788</v>
          </cell>
          <cell r="L121">
            <v>11537257</v>
          </cell>
          <cell r="M121">
            <v>0</v>
          </cell>
        </row>
        <row r="122">
          <cell r="G122">
            <v>39564</v>
          </cell>
          <cell r="H122">
            <v>1221895.1</v>
          </cell>
          <cell r="J122">
            <v>39564</v>
          </cell>
          <cell r="K122">
            <v>7905968.9</v>
          </cell>
          <cell r="L122">
            <v>7355863</v>
          </cell>
          <cell r="M122">
            <v>0</v>
          </cell>
        </row>
        <row r="123">
          <cell r="G123">
            <v>39595</v>
          </cell>
          <cell r="H123">
            <v>523829.5</v>
          </cell>
          <cell r="J123">
            <v>39595</v>
          </cell>
          <cell r="K123">
            <v>3146258.5</v>
          </cell>
          <cell r="L123">
            <v>2988269</v>
          </cell>
          <cell r="M123">
            <v>0</v>
          </cell>
        </row>
        <row r="124">
          <cell r="G124">
            <v>39626</v>
          </cell>
          <cell r="H124">
            <v>338229.3</v>
          </cell>
          <cell r="J124">
            <v>39626</v>
          </cell>
          <cell r="K124">
            <v>2055549.7</v>
          </cell>
          <cell r="L124">
            <v>1971709</v>
          </cell>
          <cell r="M124">
            <v>0</v>
          </cell>
        </row>
        <row r="125">
          <cell r="G125">
            <v>39657</v>
          </cell>
          <cell r="H125">
            <v>191957.4</v>
          </cell>
          <cell r="J125">
            <v>39657</v>
          </cell>
          <cell r="K125">
            <v>1307746.6</v>
          </cell>
          <cell r="L125">
            <v>1236599</v>
          </cell>
          <cell r="M125">
            <v>0</v>
          </cell>
        </row>
        <row r="126">
          <cell r="G126">
            <v>39688</v>
          </cell>
          <cell r="H126">
            <v>161571.5</v>
          </cell>
          <cell r="J126">
            <v>39688</v>
          </cell>
          <cell r="K126">
            <v>1255253.5</v>
          </cell>
          <cell r="L126">
            <v>1202645</v>
          </cell>
        </row>
        <row r="127">
          <cell r="G127">
            <v>39719</v>
          </cell>
          <cell r="H127">
            <v>146288</v>
          </cell>
          <cell r="J127">
            <v>39719</v>
          </cell>
          <cell r="K127">
            <v>1319594</v>
          </cell>
          <cell r="L127">
            <v>1253276</v>
          </cell>
        </row>
        <row r="128">
          <cell r="G128">
            <v>39750</v>
          </cell>
          <cell r="H128">
            <v>236677.4</v>
          </cell>
          <cell r="J128">
            <v>39750</v>
          </cell>
          <cell r="K128">
            <v>1911247.6</v>
          </cell>
          <cell r="L128">
            <v>1850805</v>
          </cell>
        </row>
        <row r="129">
          <cell r="G129">
            <v>39781</v>
          </cell>
          <cell r="H129">
            <v>716630.7</v>
          </cell>
          <cell r="J129">
            <v>39781</v>
          </cell>
          <cell r="K129">
            <v>5386264.3</v>
          </cell>
          <cell r="L129">
            <v>4887097</v>
          </cell>
        </row>
        <row r="130">
          <cell r="G130">
            <v>39812</v>
          </cell>
          <cell r="H130">
            <v>1546021.7</v>
          </cell>
          <cell r="J130">
            <v>39812</v>
          </cell>
          <cell r="K130">
            <v>10902127.3</v>
          </cell>
          <cell r="L130">
            <v>10318025</v>
          </cell>
        </row>
        <row r="131">
          <cell r="G131">
            <v>39843</v>
          </cell>
          <cell r="H131">
            <v>2070040.9</v>
          </cell>
          <cell r="J131">
            <v>39843</v>
          </cell>
          <cell r="K131">
            <v>14248624.1</v>
          </cell>
          <cell r="L131">
            <v>13524474</v>
          </cell>
        </row>
      </sheetData>
      <sheetData sheetId="2">
        <row r="9">
          <cell r="D9">
            <v>-0.0132</v>
          </cell>
        </row>
        <row r="30">
          <cell r="F30">
            <v>-0.0001</v>
          </cell>
        </row>
        <row r="31">
          <cell r="F31">
            <v>0</v>
          </cell>
        </row>
        <row r="32">
          <cell r="F32">
            <v>-0.0015</v>
          </cell>
        </row>
        <row r="38">
          <cell r="F38">
            <v>-0.2374</v>
          </cell>
        </row>
        <row r="39">
          <cell r="F39">
            <v>0.898</v>
          </cell>
        </row>
        <row r="40">
          <cell r="F40">
            <v>-0.6959</v>
          </cell>
        </row>
      </sheetData>
      <sheetData sheetId="6">
        <row r="39">
          <cell r="I39">
            <v>185734620</v>
          </cell>
        </row>
        <row r="44">
          <cell r="I44">
            <v>1199505</v>
          </cell>
        </row>
      </sheetData>
      <sheetData sheetId="13">
        <row r="43">
          <cell r="C43">
            <v>0</v>
          </cell>
        </row>
        <row r="45">
          <cell r="C45">
            <v>4270000</v>
          </cell>
        </row>
        <row r="46">
          <cell r="C46">
            <v>46246000</v>
          </cell>
        </row>
      </sheetData>
      <sheetData sheetId="14">
        <row r="24">
          <cell r="B24">
            <v>5386264.3</v>
          </cell>
          <cell r="D24">
            <v>716630.7</v>
          </cell>
        </row>
        <row r="25">
          <cell r="B25">
            <v>10902127.3</v>
          </cell>
          <cell r="D25">
            <v>1546021.7</v>
          </cell>
        </row>
        <row r="26">
          <cell r="B26">
            <v>14248624.1</v>
          </cell>
          <cell r="D26">
            <v>2070040.9</v>
          </cell>
        </row>
        <row r="51">
          <cell r="B51">
            <v>74496000</v>
          </cell>
          <cell r="D51">
            <v>10895000</v>
          </cell>
        </row>
        <row r="63">
          <cell r="E63">
            <v>0.65</v>
          </cell>
        </row>
      </sheetData>
      <sheetData sheetId="16">
        <row r="20">
          <cell r="B20">
            <v>38217000</v>
          </cell>
          <cell r="D20">
            <v>0</v>
          </cell>
          <cell r="F20">
            <v>957000</v>
          </cell>
        </row>
        <row r="21">
          <cell r="I21">
            <v>40182000</v>
          </cell>
          <cell r="J21">
            <v>38217000</v>
          </cell>
          <cell r="M21">
            <v>0</v>
          </cell>
          <cell r="N21">
            <v>0</v>
          </cell>
        </row>
        <row r="38">
          <cell r="E38">
            <v>0</v>
          </cell>
          <cell r="I38">
            <v>1017000</v>
          </cell>
          <cell r="J38">
            <v>957000</v>
          </cell>
          <cell r="M38">
            <v>0</v>
          </cell>
        </row>
      </sheetData>
      <sheetData sheetId="17">
        <row r="28">
          <cell r="A28" t="str">
            <v>Reservation Charge</v>
          </cell>
          <cell r="B28">
            <v>5.442</v>
          </cell>
        </row>
        <row r="29">
          <cell r="A29" t="str">
            <v>TCRA Current Rate</v>
          </cell>
          <cell r="B29">
            <v>0.341</v>
          </cell>
        </row>
        <row r="30">
          <cell r="A30" t="str">
            <v>TCRA Surcharge</v>
          </cell>
          <cell r="B30">
            <v>0.023</v>
          </cell>
        </row>
        <row r="31">
          <cell r="A31" t="str">
            <v>EPCA Current Rate</v>
          </cell>
          <cell r="B31">
            <v>0.042</v>
          </cell>
        </row>
        <row r="32">
          <cell r="A32" t="str">
            <v>EPCA Surcharge</v>
          </cell>
          <cell r="B32">
            <v>0.002</v>
          </cell>
        </row>
        <row r="37">
          <cell r="A37" t="str">
            <v>TOTAL</v>
          </cell>
          <cell r="B37">
            <v>5.85</v>
          </cell>
        </row>
        <row r="104">
          <cell r="A104" t="str">
            <v>Reservation Charge</v>
          </cell>
          <cell r="B104">
            <v>5.612</v>
          </cell>
        </row>
        <row r="105">
          <cell r="A105" t="str">
            <v>TCRA Current Rate</v>
          </cell>
          <cell r="B105">
            <v>0.341</v>
          </cell>
        </row>
        <row r="106">
          <cell r="A106" t="str">
            <v>TCRA Surcharge</v>
          </cell>
          <cell r="B106">
            <v>0.023</v>
          </cell>
        </row>
        <row r="107">
          <cell r="A107" t="str">
            <v>EPCA Current Rate</v>
          </cell>
          <cell r="B107">
            <v>0.042</v>
          </cell>
        </row>
        <row r="108">
          <cell r="A108" t="str">
            <v>EPCA Surcharge</v>
          </cell>
          <cell r="B108">
            <v>0.002</v>
          </cell>
        </row>
        <row r="109">
          <cell r="A109" t="str">
            <v>R &amp; D Funding</v>
          </cell>
          <cell r="B109">
            <v>0</v>
          </cell>
        </row>
        <row r="113">
          <cell r="A113" t="str">
            <v>TOTAL</v>
          </cell>
          <cell r="B113">
            <v>6.02</v>
          </cell>
        </row>
        <row r="940">
          <cell r="B940">
            <v>3.3</v>
          </cell>
        </row>
        <row r="941">
          <cell r="B941">
            <v>4.73</v>
          </cell>
        </row>
        <row r="942">
          <cell r="B942">
            <v>5.4</v>
          </cell>
        </row>
        <row r="978">
          <cell r="A978" t="str">
            <v>Field Zone</v>
          </cell>
        </row>
        <row r="979">
          <cell r="A979" t="str">
            <v>Access Charge</v>
          </cell>
        </row>
        <row r="980">
          <cell r="A980" t="str">
            <v>Reservation 801-900</v>
          </cell>
        </row>
        <row r="982">
          <cell r="A982" t="str">
            <v>N/A</v>
          </cell>
          <cell r="B982">
            <v>0</v>
          </cell>
        </row>
        <row r="987">
          <cell r="A987" t="str">
            <v>TOTAL</v>
          </cell>
        </row>
        <row r="2864">
          <cell r="R2864" t="str">
            <v>Columbia Gas Transmission Corp</v>
          </cell>
          <cell r="S2864" t="str">
            <v>SST - W</v>
          </cell>
          <cell r="T2864" t="str">
            <v>Storage Service Transport</v>
          </cell>
          <cell r="U2864">
            <v>5.85</v>
          </cell>
          <cell r="V2864">
            <v>8670612</v>
          </cell>
          <cell r="W2864">
            <v>50723080</v>
          </cell>
          <cell r="Z2864">
            <v>39904</v>
          </cell>
          <cell r="AA2864" t="str">
            <v>25, 28 &amp; 32</v>
          </cell>
          <cell r="AB2864" t="str">
            <v>Y</v>
          </cell>
        </row>
        <row r="2865">
          <cell r="S2865" t="str">
            <v>SST - S</v>
          </cell>
          <cell r="T2865" t="str">
            <v>Storage Service Transport</v>
          </cell>
          <cell r="U2865">
            <v>5.85</v>
          </cell>
          <cell r="V2865">
            <v>4335306</v>
          </cell>
          <cell r="W2865">
            <v>25361540</v>
          </cell>
          <cell r="AB2865" t="str">
            <v>Y</v>
          </cell>
        </row>
        <row r="2866">
          <cell r="S2866" t="str">
            <v>FTS</v>
          </cell>
          <cell r="T2866" t="str">
            <v>Reservation Charge</v>
          </cell>
          <cell r="U2866">
            <v>6.02</v>
          </cell>
          <cell r="V2866">
            <v>4561800</v>
          </cell>
          <cell r="W2866">
            <v>27462036</v>
          </cell>
          <cell r="AB2866" t="str">
            <v>Y</v>
          </cell>
        </row>
        <row r="2867">
          <cell r="S2867" t="str">
            <v>FSS RES</v>
          </cell>
          <cell r="T2867" t="str">
            <v>Reservation Charge</v>
          </cell>
          <cell r="U2867">
            <v>1.505</v>
          </cell>
          <cell r="V2867">
            <v>17341224</v>
          </cell>
          <cell r="W2867">
            <v>26098542</v>
          </cell>
          <cell r="AB2867" t="str">
            <v>Y</v>
          </cell>
        </row>
        <row r="2868">
          <cell r="S2868" t="str">
            <v>FSS CAP</v>
          </cell>
          <cell r="T2868" t="str">
            <v>Capacity Charge</v>
          </cell>
          <cell r="U2868">
            <v>0.0289</v>
          </cell>
          <cell r="V2868">
            <v>965302956</v>
          </cell>
          <cell r="W2868">
            <v>27897255</v>
          </cell>
          <cell r="AB2868" t="str">
            <v>Y</v>
          </cell>
        </row>
        <row r="2869">
          <cell r="S2869" t="str">
            <v>FTS</v>
          </cell>
          <cell r="T2869" t="str">
            <v>Reservation Charge</v>
          </cell>
          <cell r="U2869">
            <v>3.963</v>
          </cell>
          <cell r="V2869">
            <v>546456</v>
          </cell>
          <cell r="W2869">
            <v>2165605</v>
          </cell>
          <cell r="Y2869" t="str">
            <v>Y</v>
          </cell>
        </row>
        <row r="2870"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 t="str">
            <v> </v>
          </cell>
          <cell r="AD2870" t="str">
            <v> </v>
          </cell>
          <cell r="AE2870" t="str">
            <v> </v>
          </cell>
          <cell r="AF2870" t="str">
            <v> </v>
          </cell>
        </row>
        <row r="2871"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 t="str">
            <v> </v>
          </cell>
          <cell r="AD2871" t="str">
            <v> </v>
          </cell>
          <cell r="AE2871" t="str">
            <v> </v>
          </cell>
          <cell r="AF2871" t="str">
            <v> </v>
          </cell>
        </row>
        <row r="2872"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 t="str">
            <v> </v>
          </cell>
          <cell r="AD2872" t="str">
            <v> </v>
          </cell>
          <cell r="AE2872" t="str">
            <v> </v>
          </cell>
          <cell r="AF2872" t="str">
            <v> </v>
          </cell>
        </row>
        <row r="2873">
          <cell r="S2873" t="str">
            <v>FTS-1</v>
          </cell>
          <cell r="T2873" t="str">
            <v>Firm Trans Service</v>
          </cell>
          <cell r="U2873">
            <v>3.145</v>
          </cell>
          <cell r="V2873">
            <v>4402788</v>
          </cell>
          <cell r="W2873">
            <v>13846768</v>
          </cell>
          <cell r="Z2873">
            <v>39722</v>
          </cell>
          <cell r="AA2873" t="str">
            <v>18 &amp; 18A</v>
          </cell>
          <cell r="AB2873" t="str">
            <v> </v>
          </cell>
        </row>
        <row r="2874">
          <cell r="S2874">
            <v>0</v>
          </cell>
          <cell r="T2874">
            <v>0</v>
          </cell>
          <cell r="U2874">
            <v>0</v>
          </cell>
          <cell r="V2874">
            <v>0</v>
          </cell>
          <cell r="W2874">
            <v>0</v>
          </cell>
        </row>
        <row r="2875"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</row>
        <row r="2876"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</row>
        <row r="2877"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</row>
        <row r="2878"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</row>
        <row r="2879"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</row>
        <row r="2880"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</row>
        <row r="2881">
          <cell r="S2881">
            <v>0</v>
          </cell>
          <cell r="T2881">
            <v>0</v>
          </cell>
          <cell r="U2881">
            <v>0</v>
          </cell>
          <cell r="V2881">
            <v>0</v>
          </cell>
          <cell r="W2881">
            <v>0</v>
          </cell>
        </row>
        <row r="2882">
          <cell r="Z2882">
            <v>39867</v>
          </cell>
          <cell r="AA2882" t="str">
            <v>5, 9, 12, 14</v>
          </cell>
        </row>
        <row r="2884">
          <cell r="U2884">
            <v>0</v>
          </cell>
          <cell r="V2884">
            <v>0</v>
          </cell>
          <cell r="W2884">
            <v>0</v>
          </cell>
        </row>
        <row r="2885">
          <cell r="U2885">
            <v>0</v>
          </cell>
          <cell r="V2885">
            <v>0</v>
          </cell>
          <cell r="W2885">
            <v>0</v>
          </cell>
        </row>
        <row r="2886">
          <cell r="S2886" t="str">
            <v>EFT-W</v>
          </cell>
          <cell r="T2886" t="str">
            <v>Enhanced Firm Trans-Winter</v>
          </cell>
          <cell r="U2886">
            <v>3.9</v>
          </cell>
          <cell r="V2886">
            <v>131690</v>
          </cell>
          <cell r="W2886">
            <v>513591</v>
          </cell>
          <cell r="Y2886" t="str">
            <v>Y</v>
          </cell>
        </row>
        <row r="2888">
          <cell r="S2888" t="str">
            <v>EFT</v>
          </cell>
          <cell r="T2888" t="str">
            <v>Enhanced Firm Trans</v>
          </cell>
          <cell r="U2888">
            <v>13.430000000000001</v>
          </cell>
          <cell r="V2888">
            <v>180000</v>
          </cell>
          <cell r="W2888">
            <v>2417400</v>
          </cell>
        </row>
        <row r="2889">
          <cell r="U2889">
            <v>0</v>
          </cell>
          <cell r="V2889">
            <v>0</v>
          </cell>
          <cell r="W2889">
            <v>0</v>
          </cell>
        </row>
        <row r="2890"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</row>
        <row r="2891"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</row>
        <row r="2892">
          <cell r="S2892" t="str">
            <v>FT-1 </v>
          </cell>
          <cell r="T2892" t="str">
            <v>Reservation Charge</v>
          </cell>
          <cell r="U2892">
            <v>3.3238</v>
          </cell>
          <cell r="V2892">
            <v>371328</v>
          </cell>
          <cell r="W2892">
            <v>1234220</v>
          </cell>
          <cell r="Z2892">
            <v>39904</v>
          </cell>
          <cell r="AA2892">
            <v>6</v>
          </cell>
        </row>
        <row r="2893"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</row>
        <row r="2894"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</row>
        <row r="2895">
          <cell r="S2895">
            <v>0</v>
          </cell>
          <cell r="T2895">
            <v>0</v>
          </cell>
          <cell r="U2895">
            <v>0</v>
          </cell>
          <cell r="V2895">
            <v>0</v>
          </cell>
          <cell r="W2895">
            <v>0</v>
          </cell>
        </row>
        <row r="2896"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</row>
        <row r="2897"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</row>
        <row r="2898"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</row>
        <row r="2899"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</row>
        <row r="2900"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AA2900" t="str">
            <v>N/A</v>
          </cell>
        </row>
        <row r="2901">
          <cell r="S2901" t="str">
            <v>FT</v>
          </cell>
          <cell r="T2901">
            <v>0</v>
          </cell>
          <cell r="U2901">
            <v>12.684</v>
          </cell>
          <cell r="V2901">
            <v>175000</v>
          </cell>
          <cell r="W2901">
            <v>2219700</v>
          </cell>
          <cell r="Y2901" t="str">
            <v>Y</v>
          </cell>
          <cell r="Z2901" t="str">
            <v>Per Contract</v>
          </cell>
        </row>
        <row r="2902">
          <cell r="S2902" t="str">
            <v>FT</v>
          </cell>
          <cell r="T2902">
            <v>0</v>
          </cell>
          <cell r="U2902">
            <v>9.003</v>
          </cell>
          <cell r="V2902">
            <v>366684</v>
          </cell>
          <cell r="W2902">
            <v>3301256</v>
          </cell>
          <cell r="Y2902" t="str">
            <v>Y</v>
          </cell>
        </row>
        <row r="2903">
          <cell r="S2903" t="str">
            <v>FT</v>
          </cell>
          <cell r="T2903">
            <v>0</v>
          </cell>
          <cell r="U2903">
            <v>11.923</v>
          </cell>
          <cell r="V2903">
            <v>15000</v>
          </cell>
          <cell r="W2903">
            <v>178845</v>
          </cell>
          <cell r="Y2903" t="str">
            <v>Y</v>
          </cell>
        </row>
        <row r="2904"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</row>
        <row r="2905">
          <cell r="S2905">
            <v>0</v>
          </cell>
          <cell r="T2905">
            <v>0</v>
          </cell>
          <cell r="U2905">
            <v>0</v>
          </cell>
          <cell r="V2905">
            <v>0</v>
          </cell>
          <cell r="W2905">
            <v>0</v>
          </cell>
        </row>
        <row r="2906"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</row>
        <row r="2907">
          <cell r="S2907">
            <v>0</v>
          </cell>
          <cell r="T2907">
            <v>0</v>
          </cell>
          <cell r="U2907">
            <v>0</v>
          </cell>
          <cell r="V2907">
            <v>0</v>
          </cell>
          <cell r="W2907">
            <v>0</v>
          </cell>
        </row>
        <row r="2908"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</row>
        <row r="2909"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AA2909" t="str">
            <v>N/A</v>
          </cell>
        </row>
        <row r="2910">
          <cell r="S2910" t="str">
            <v>FT-A</v>
          </cell>
          <cell r="T2910" t="str">
            <v>Reservation Charge-Broad Run</v>
          </cell>
          <cell r="U2910">
            <v>5.7798</v>
          </cell>
          <cell r="V2910">
            <v>480000</v>
          </cell>
          <cell r="W2910">
            <v>2774304</v>
          </cell>
          <cell r="Y2910" t="str">
            <v>y</v>
          </cell>
          <cell r="Z2910" t="str">
            <v>Per Contract</v>
          </cell>
        </row>
        <row r="2911">
          <cell r="S2911" t="str">
            <v>FT-A</v>
          </cell>
          <cell r="T2911" t="str">
            <v>Reservation Charge-Dungannon</v>
          </cell>
          <cell r="U2911">
            <v>0</v>
          </cell>
          <cell r="V2911">
            <v>0</v>
          </cell>
          <cell r="W2911">
            <v>0</v>
          </cell>
          <cell r="Y2911" t="str">
            <v>y</v>
          </cell>
        </row>
        <row r="2912">
          <cell r="S2912" t="str">
            <v>FT-A</v>
          </cell>
          <cell r="T2912" t="str">
            <v>Reservation Charge-Dungannon</v>
          </cell>
          <cell r="U2912">
            <v>8.761</v>
          </cell>
          <cell r="V2912">
            <v>360000</v>
          </cell>
          <cell r="W2912">
            <v>3153960</v>
          </cell>
          <cell r="Y2912" t="str">
            <v>y</v>
          </cell>
        </row>
        <row r="2913"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</row>
        <row r="2914">
          <cell r="S2914">
            <v>0</v>
          </cell>
          <cell r="T2914">
            <v>0</v>
          </cell>
          <cell r="U2914">
            <v>0</v>
          </cell>
          <cell r="V2914">
            <v>0</v>
          </cell>
          <cell r="W2914">
            <v>0</v>
          </cell>
        </row>
        <row r="2915"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</row>
        <row r="2916"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</row>
        <row r="2917"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</row>
        <row r="2918"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</row>
        <row r="2919">
          <cell r="S2919" t="str">
            <v>FT-1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Y2919" t="str">
            <v>y</v>
          </cell>
        </row>
        <row r="2920"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Y2920" t="str">
            <v>y</v>
          </cell>
        </row>
        <row r="2921"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Y2921" t="str">
            <v>y</v>
          </cell>
        </row>
        <row r="2922"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Y2922" t="str">
            <v>y</v>
          </cell>
        </row>
        <row r="2923"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Y2923" t="str">
            <v>y</v>
          </cell>
        </row>
        <row r="2924"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Y2924" t="str">
            <v>y</v>
          </cell>
        </row>
        <row r="2925"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  <cell r="Y2925" t="str">
            <v>y</v>
          </cell>
        </row>
        <row r="2926"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Y2926" t="str">
            <v>y</v>
          </cell>
        </row>
        <row r="2927"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Y2927" t="str">
            <v>y</v>
          </cell>
        </row>
        <row r="2928">
          <cell r="R2928" t="str">
            <v>Reserved For Future Use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Y2928" t="str">
            <v>y</v>
          </cell>
        </row>
        <row r="2929"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Y2929" t="str">
            <v>y</v>
          </cell>
        </row>
        <row r="2930"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Y2930" t="str">
            <v>y</v>
          </cell>
        </row>
        <row r="2931"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Y2931" t="str">
            <v>y</v>
          </cell>
        </row>
        <row r="2932">
          <cell r="S2932">
            <v>0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  <cell r="Y2932" t="str">
            <v>y</v>
          </cell>
        </row>
        <row r="2933"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Y2933" t="str">
            <v>y</v>
          </cell>
        </row>
        <row r="2934"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  <cell r="Y2934" t="str">
            <v>y</v>
          </cell>
        </row>
        <row r="2935">
          <cell r="S2935">
            <v>0</v>
          </cell>
          <cell r="T2935" t="str">
            <v>Chillicothe Demand Costs</v>
          </cell>
          <cell r="U2935">
            <v>0</v>
          </cell>
          <cell r="V2935">
            <v>0</v>
          </cell>
          <cell r="W2935">
            <v>300000</v>
          </cell>
          <cell r="Y2935" t="str">
            <v>y</v>
          </cell>
        </row>
        <row r="2936">
          <cell r="S2936">
            <v>0</v>
          </cell>
          <cell r="T2936" t="str">
            <v>St. Clairsville Demand Costs</v>
          </cell>
          <cell r="U2936">
            <v>0</v>
          </cell>
          <cell r="V2936">
            <v>0</v>
          </cell>
          <cell r="W2936">
            <v>0</v>
          </cell>
          <cell r="Y2936" t="str">
            <v>y</v>
          </cell>
          <cell r="AA2936" t="str">
            <v>N/A</v>
          </cell>
        </row>
        <row r="2937">
          <cell r="T2937" t="str">
            <v>Firm Peaking Contracts</v>
          </cell>
          <cell r="W2937">
            <v>1862335</v>
          </cell>
          <cell r="Z2937" t="str">
            <v>Per Contract</v>
          </cell>
          <cell r="AA2937" t="str">
            <v>N/A</v>
          </cell>
          <cell r="AB2937" t="str">
            <v> </v>
          </cell>
        </row>
        <row r="2938">
          <cell r="R2938" t="str">
            <v>Reserved for Future Use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</row>
        <row r="2939">
          <cell r="T2939" t="str">
            <v>Demand Charges</v>
          </cell>
          <cell r="W2939">
            <v>16686534</v>
          </cell>
          <cell r="Y2939" t="str">
            <v>N/A</v>
          </cell>
          <cell r="Z2939" t="str">
            <v>Per Contract</v>
          </cell>
        </row>
      </sheetData>
      <sheetData sheetId="28">
        <row r="6">
          <cell r="A6">
            <v>35673</v>
          </cell>
          <cell r="I6">
            <v>0</v>
          </cell>
        </row>
        <row r="7">
          <cell r="A7">
            <v>35703</v>
          </cell>
          <cell r="I7">
            <v>0</v>
          </cell>
        </row>
        <row r="8">
          <cell r="A8">
            <v>35733</v>
          </cell>
          <cell r="I8">
            <v>0</v>
          </cell>
        </row>
        <row r="9">
          <cell r="A9">
            <v>35763</v>
          </cell>
          <cell r="D9">
            <v>4543354</v>
          </cell>
          <cell r="E9">
            <v>4725089</v>
          </cell>
          <cell r="F9">
            <v>0</v>
          </cell>
          <cell r="G9">
            <v>0</v>
          </cell>
          <cell r="H9">
            <v>31</v>
          </cell>
          <cell r="I9">
            <v>31</v>
          </cell>
          <cell r="J9">
            <v>0</v>
          </cell>
          <cell r="K9">
            <v>0</v>
          </cell>
          <cell r="L9">
            <v>6841</v>
          </cell>
          <cell r="M9">
            <v>7046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286037</v>
          </cell>
          <cell r="Z9">
            <v>298551</v>
          </cell>
          <cell r="AA9">
            <v>14945887</v>
          </cell>
          <cell r="AB9">
            <v>15662207</v>
          </cell>
        </row>
        <row r="10">
          <cell r="A10">
            <v>35793</v>
          </cell>
          <cell r="D10">
            <v>14869830</v>
          </cell>
          <cell r="E10">
            <v>15464623</v>
          </cell>
          <cell r="F10">
            <v>0</v>
          </cell>
          <cell r="G10">
            <v>0</v>
          </cell>
          <cell r="H10">
            <v>380000</v>
          </cell>
          <cell r="I10">
            <v>380000</v>
          </cell>
          <cell r="J10">
            <v>0</v>
          </cell>
          <cell r="K10">
            <v>0</v>
          </cell>
          <cell r="L10">
            <v>240118</v>
          </cell>
          <cell r="M10">
            <v>247321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361073</v>
          </cell>
          <cell r="Z10">
            <v>376599</v>
          </cell>
          <cell r="AA10">
            <v>12531718</v>
          </cell>
          <cell r="AB10">
            <v>13145096</v>
          </cell>
        </row>
        <row r="11">
          <cell r="A11">
            <v>35823</v>
          </cell>
          <cell r="D11">
            <v>9272460</v>
          </cell>
          <cell r="E11">
            <v>9643358</v>
          </cell>
          <cell r="F11">
            <v>0</v>
          </cell>
          <cell r="G11">
            <v>0</v>
          </cell>
          <cell r="H11">
            <v>899771</v>
          </cell>
          <cell r="I11">
            <v>899771</v>
          </cell>
          <cell r="J11">
            <v>0</v>
          </cell>
          <cell r="K11">
            <v>0</v>
          </cell>
          <cell r="L11">
            <v>242068</v>
          </cell>
          <cell r="M11">
            <v>249300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433453</v>
          </cell>
          <cell r="Z11">
            <v>451954</v>
          </cell>
          <cell r="AA11">
            <v>14832516</v>
          </cell>
          <cell r="AB11">
            <v>15479259</v>
          </cell>
        </row>
        <row r="12">
          <cell r="A12">
            <v>35853</v>
          </cell>
          <cell r="D12">
            <v>17420564</v>
          </cell>
          <cell r="E12">
            <v>18117387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216891</v>
          </cell>
          <cell r="M12">
            <v>223398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499166</v>
          </cell>
          <cell r="Y12">
            <v>242910</v>
          </cell>
          <cell r="Z12">
            <v>254826</v>
          </cell>
          <cell r="AA12">
            <v>2102431</v>
          </cell>
          <cell r="AB12">
            <v>2190480</v>
          </cell>
        </row>
        <row r="13">
          <cell r="A13">
            <v>35883</v>
          </cell>
          <cell r="D13">
            <v>15562168</v>
          </cell>
          <cell r="E13">
            <v>16184655</v>
          </cell>
          <cell r="F13">
            <v>0</v>
          </cell>
          <cell r="G13">
            <v>0</v>
          </cell>
          <cell r="H13">
            <v>610636</v>
          </cell>
          <cell r="I13">
            <v>610636</v>
          </cell>
          <cell r="J13">
            <v>0</v>
          </cell>
          <cell r="K13">
            <v>0</v>
          </cell>
          <cell r="L13">
            <v>196144</v>
          </cell>
          <cell r="M13">
            <v>202029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338772</v>
          </cell>
          <cell r="Y13">
            <v>109853</v>
          </cell>
          <cell r="Z13">
            <v>114247</v>
          </cell>
          <cell r="AA13">
            <v>3821801</v>
          </cell>
          <cell r="AB13">
            <v>3983845</v>
          </cell>
        </row>
        <row r="14">
          <cell r="A14">
            <v>35913</v>
          </cell>
          <cell r="D14">
            <v>227710</v>
          </cell>
          <cell r="E14">
            <v>236818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656</v>
          </cell>
          <cell r="M14">
            <v>675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59417</v>
          </cell>
          <cell r="W14">
            <v>61200</v>
          </cell>
          <cell r="X14">
            <v>354020</v>
          </cell>
          <cell r="Y14">
            <v>81663</v>
          </cell>
          <cell r="Z14">
            <v>84930</v>
          </cell>
          <cell r="AA14">
            <v>7906258</v>
          </cell>
          <cell r="AB14">
            <v>8231450</v>
          </cell>
        </row>
        <row r="15">
          <cell r="A15">
            <v>35943</v>
          </cell>
          <cell r="D15">
            <v>-5680</v>
          </cell>
          <cell r="E15">
            <v>-5907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-96</v>
          </cell>
          <cell r="M15">
            <v>-99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139157</v>
          </cell>
          <cell r="Y15">
            <v>44264</v>
          </cell>
          <cell r="Z15">
            <v>46035</v>
          </cell>
          <cell r="AA15">
            <v>2406219</v>
          </cell>
          <cell r="AB15">
            <v>2510945</v>
          </cell>
        </row>
        <row r="16">
          <cell r="A16">
            <v>35973</v>
          </cell>
          <cell r="D16">
            <v>1395795</v>
          </cell>
          <cell r="E16">
            <v>1451627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161383</v>
          </cell>
          <cell r="Y16">
            <v>23771</v>
          </cell>
          <cell r="Z16">
            <v>24817</v>
          </cell>
          <cell r="AA16">
            <v>1373707</v>
          </cell>
          <cell r="AB16">
            <v>1442128</v>
          </cell>
        </row>
        <row r="17">
          <cell r="A17">
            <v>36003</v>
          </cell>
          <cell r="D17">
            <v>-750060</v>
          </cell>
          <cell r="E17">
            <v>-780062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178867</v>
          </cell>
          <cell r="Y17">
            <v>17956</v>
          </cell>
          <cell r="Z17">
            <v>18746</v>
          </cell>
          <cell r="AA17">
            <v>3600855</v>
          </cell>
          <cell r="AB17">
            <v>3796936</v>
          </cell>
        </row>
        <row r="18">
          <cell r="A18">
            <v>36033</v>
          </cell>
          <cell r="D18">
            <v>6046</v>
          </cell>
          <cell r="E18">
            <v>6288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183295</v>
          </cell>
          <cell r="Y18">
            <v>20079</v>
          </cell>
          <cell r="Z18">
            <v>21123</v>
          </cell>
          <cell r="AA18">
            <v>1970209</v>
          </cell>
          <cell r="AB18">
            <v>2080909</v>
          </cell>
        </row>
        <row r="19">
          <cell r="A19">
            <v>36063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188281</v>
          </cell>
          <cell r="Y19">
            <v>33125</v>
          </cell>
          <cell r="Z19">
            <v>34558</v>
          </cell>
          <cell r="AA19">
            <v>1969787</v>
          </cell>
          <cell r="AB19">
            <v>2093453</v>
          </cell>
        </row>
        <row r="20">
          <cell r="A20">
            <v>36093</v>
          </cell>
          <cell r="D20">
            <v>3416040</v>
          </cell>
          <cell r="E20">
            <v>3552682</v>
          </cell>
          <cell r="F20">
            <v>0</v>
          </cell>
          <cell r="G20">
            <v>0</v>
          </cell>
          <cell r="H20">
            <v>8336</v>
          </cell>
          <cell r="I20">
            <v>8336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182513</v>
          </cell>
          <cell r="Y20">
            <v>27842</v>
          </cell>
          <cell r="Z20">
            <v>29095</v>
          </cell>
          <cell r="AA20">
            <v>2253454</v>
          </cell>
          <cell r="AB20">
            <v>2382592</v>
          </cell>
        </row>
        <row r="21">
          <cell r="A21">
            <v>36123</v>
          </cell>
          <cell r="B21">
            <v>51994662</v>
          </cell>
          <cell r="C21">
            <v>13196839</v>
          </cell>
          <cell r="D21">
            <v>1879422</v>
          </cell>
          <cell r="E21">
            <v>1954599</v>
          </cell>
          <cell r="F21">
            <v>0</v>
          </cell>
          <cell r="G21">
            <v>0</v>
          </cell>
          <cell r="H21">
            <v>5260</v>
          </cell>
          <cell r="I21">
            <v>5260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226639</v>
          </cell>
          <cell r="Y21">
            <v>64299</v>
          </cell>
          <cell r="Z21">
            <v>67000</v>
          </cell>
          <cell r="AA21">
            <v>11085518</v>
          </cell>
          <cell r="AB21">
            <v>11551532</v>
          </cell>
        </row>
        <row r="22">
          <cell r="A22">
            <v>36153</v>
          </cell>
          <cell r="B22">
            <v>73072898</v>
          </cell>
          <cell r="C22">
            <v>19796158</v>
          </cell>
          <cell r="D22">
            <v>12452855</v>
          </cell>
          <cell r="E22">
            <v>12950969</v>
          </cell>
          <cell r="F22">
            <v>0</v>
          </cell>
          <cell r="G22">
            <v>0</v>
          </cell>
          <cell r="H22">
            <v>370062</v>
          </cell>
          <cell r="I22">
            <v>370062</v>
          </cell>
          <cell r="J22">
            <v>0</v>
          </cell>
          <cell r="K22">
            <v>0</v>
          </cell>
          <cell r="L22">
            <v>1825</v>
          </cell>
          <cell r="M22">
            <v>1880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499994</v>
          </cell>
          <cell r="Y22">
            <v>93328</v>
          </cell>
          <cell r="Z22">
            <v>97061</v>
          </cell>
          <cell r="AA22">
            <v>6471422</v>
          </cell>
          <cell r="AB22">
            <v>6688002</v>
          </cell>
        </row>
        <row r="23">
          <cell r="A23">
            <v>36183</v>
          </cell>
          <cell r="B23">
            <v>72177249</v>
          </cell>
          <cell r="C23">
            <v>27380167</v>
          </cell>
          <cell r="D23">
            <v>16128935</v>
          </cell>
          <cell r="E23">
            <v>16774092</v>
          </cell>
          <cell r="F23">
            <v>0</v>
          </cell>
          <cell r="G23">
            <v>0</v>
          </cell>
          <cell r="H23">
            <v>773518</v>
          </cell>
          <cell r="I23">
            <v>773518</v>
          </cell>
          <cell r="J23">
            <v>0</v>
          </cell>
          <cell r="K23">
            <v>0</v>
          </cell>
          <cell r="L23">
            <v>6637</v>
          </cell>
          <cell r="M23">
            <v>6836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19164</v>
          </cell>
          <cell r="W23">
            <v>19740</v>
          </cell>
          <cell r="X23">
            <v>386323</v>
          </cell>
          <cell r="Y23">
            <v>137524</v>
          </cell>
          <cell r="Z23">
            <v>143300</v>
          </cell>
          <cell r="AA23">
            <v>10065590</v>
          </cell>
          <cell r="AB23">
            <v>10473774</v>
          </cell>
        </row>
        <row r="24">
          <cell r="A24">
            <v>36213</v>
          </cell>
          <cell r="B24">
            <v>71155764</v>
          </cell>
          <cell r="C24">
            <v>16003166</v>
          </cell>
          <cell r="D24">
            <v>3784351</v>
          </cell>
          <cell r="E24">
            <v>3935725</v>
          </cell>
          <cell r="F24">
            <v>0</v>
          </cell>
          <cell r="G24">
            <v>0</v>
          </cell>
          <cell r="H24">
            <v>250695</v>
          </cell>
          <cell r="I24">
            <v>250695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366029</v>
          </cell>
          <cell r="Y24">
            <v>132865</v>
          </cell>
          <cell r="Z24">
            <v>138180</v>
          </cell>
          <cell r="AA24">
            <v>11602091</v>
          </cell>
          <cell r="AB24">
            <v>12072757</v>
          </cell>
        </row>
        <row r="25">
          <cell r="A25">
            <v>36243</v>
          </cell>
          <cell r="B25">
            <v>88237630</v>
          </cell>
          <cell r="C25">
            <v>17284660</v>
          </cell>
          <cell r="D25">
            <v>12318300</v>
          </cell>
          <cell r="E25">
            <v>12811032</v>
          </cell>
          <cell r="F25">
            <v>0</v>
          </cell>
          <cell r="G25">
            <v>0</v>
          </cell>
          <cell r="H25">
            <v>233186</v>
          </cell>
          <cell r="I25">
            <v>233186</v>
          </cell>
          <cell r="J25">
            <v>0</v>
          </cell>
          <cell r="K25">
            <v>0</v>
          </cell>
          <cell r="L25">
            <v>5272</v>
          </cell>
          <cell r="M25">
            <v>5434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29126</v>
          </cell>
          <cell r="W25">
            <v>30000</v>
          </cell>
          <cell r="X25">
            <v>182036</v>
          </cell>
          <cell r="Y25">
            <v>-24956</v>
          </cell>
          <cell r="Z25">
            <v>-26115</v>
          </cell>
          <cell r="AA25">
            <v>4516740</v>
          </cell>
          <cell r="AB25">
            <v>4703029</v>
          </cell>
        </row>
        <row r="26">
          <cell r="A26">
            <v>36273</v>
          </cell>
          <cell r="B26">
            <v>-5890077</v>
          </cell>
          <cell r="C26">
            <v>2762135</v>
          </cell>
          <cell r="D26">
            <v>3107755</v>
          </cell>
          <cell r="E26">
            <v>3232065</v>
          </cell>
          <cell r="F26">
            <v>0</v>
          </cell>
          <cell r="G26">
            <v>0</v>
          </cell>
          <cell r="H26">
            <v>-12658</v>
          </cell>
          <cell r="I26">
            <v>-12658</v>
          </cell>
          <cell r="J26">
            <v>0</v>
          </cell>
          <cell r="K26">
            <v>0</v>
          </cell>
          <cell r="L26">
            <v>2980</v>
          </cell>
          <cell r="M26">
            <v>3069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19290</v>
          </cell>
          <cell r="W26">
            <v>19869</v>
          </cell>
          <cell r="X26">
            <v>304456</v>
          </cell>
          <cell r="Y26">
            <v>81068</v>
          </cell>
          <cell r="Z26">
            <v>84392</v>
          </cell>
          <cell r="AA26">
            <v>-659688</v>
          </cell>
          <cell r="AB26">
            <v>-674807</v>
          </cell>
        </row>
        <row r="27">
          <cell r="A27">
            <v>36303</v>
          </cell>
          <cell r="B27">
            <v>22980691</v>
          </cell>
          <cell r="C27">
            <v>1833455</v>
          </cell>
          <cell r="D27">
            <v>-639998</v>
          </cell>
          <cell r="E27">
            <v>-665598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104305</v>
          </cell>
          <cell r="Y27">
            <v>44222</v>
          </cell>
          <cell r="Z27">
            <v>46035</v>
          </cell>
          <cell r="AA27">
            <v>2369148</v>
          </cell>
          <cell r="AB27">
            <v>2484870</v>
          </cell>
        </row>
        <row r="28">
          <cell r="A28">
            <v>36333</v>
          </cell>
          <cell r="B28">
            <v>7875737</v>
          </cell>
          <cell r="C28">
            <v>1507224</v>
          </cell>
          <cell r="D28">
            <v>107555</v>
          </cell>
          <cell r="E28">
            <v>111857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172634</v>
          </cell>
          <cell r="Y28">
            <v>25899</v>
          </cell>
          <cell r="Z28">
            <v>26909</v>
          </cell>
          <cell r="AA28">
            <v>1227035</v>
          </cell>
          <cell r="AB28">
            <v>1304445</v>
          </cell>
        </row>
        <row r="29">
          <cell r="A29">
            <v>36363</v>
          </cell>
          <cell r="B29">
            <v>24766869</v>
          </cell>
          <cell r="C29">
            <v>3108860</v>
          </cell>
          <cell r="D29">
            <v>58423</v>
          </cell>
          <cell r="E29">
            <v>60760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383664</v>
          </cell>
          <cell r="Y29">
            <v>19052</v>
          </cell>
          <cell r="Z29">
            <v>19776</v>
          </cell>
          <cell r="AA29">
            <v>2666773</v>
          </cell>
          <cell r="AB29">
            <v>2808656</v>
          </cell>
        </row>
        <row r="30">
          <cell r="A30">
            <v>36393</v>
          </cell>
          <cell r="B30">
            <v>26789835</v>
          </cell>
          <cell r="C30">
            <v>1837918</v>
          </cell>
          <cell r="D30">
            <v>30217</v>
          </cell>
          <cell r="E30">
            <v>31425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12956</v>
          </cell>
          <cell r="Y30">
            <v>20299</v>
          </cell>
          <cell r="Z30">
            <v>21111</v>
          </cell>
          <cell r="AA30">
            <v>1794745</v>
          </cell>
          <cell r="AB30">
            <v>1993169</v>
          </cell>
        </row>
        <row r="31">
          <cell r="A31">
            <v>36423</v>
          </cell>
          <cell r="B31">
            <v>27123438</v>
          </cell>
          <cell r="C31">
            <v>1154893</v>
          </cell>
          <cell r="D31">
            <v>36232</v>
          </cell>
          <cell r="E31">
            <v>37681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174439</v>
          </cell>
          <cell r="Y31">
            <v>34925</v>
          </cell>
          <cell r="Z31">
            <v>36217</v>
          </cell>
          <cell r="AA31">
            <v>944222</v>
          </cell>
          <cell r="AB31">
            <v>1005673</v>
          </cell>
        </row>
        <row r="32">
          <cell r="A32">
            <v>36453</v>
          </cell>
          <cell r="B32">
            <v>32991757</v>
          </cell>
          <cell r="C32">
            <v>4544360</v>
          </cell>
          <cell r="D32">
            <v>1285740</v>
          </cell>
          <cell r="E32">
            <v>1337169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199289</v>
          </cell>
          <cell r="Y32">
            <v>57284</v>
          </cell>
          <cell r="Z32">
            <v>59404</v>
          </cell>
          <cell r="AA32">
            <v>3059331</v>
          </cell>
          <cell r="AB32">
            <v>3169566</v>
          </cell>
        </row>
        <row r="33">
          <cell r="A33">
            <v>36483</v>
          </cell>
          <cell r="B33">
            <v>40199570</v>
          </cell>
          <cell r="C33">
            <v>8627183</v>
          </cell>
          <cell r="D33">
            <v>2810785</v>
          </cell>
          <cell r="E33">
            <v>2923217</v>
          </cell>
          <cell r="F33">
            <v>0</v>
          </cell>
          <cell r="G33">
            <v>0</v>
          </cell>
          <cell r="H33">
            <v>239066</v>
          </cell>
          <cell r="I33">
            <v>239066</v>
          </cell>
          <cell r="L33">
            <v>146</v>
          </cell>
          <cell r="M33">
            <v>150</v>
          </cell>
          <cell r="X33">
            <v>253986</v>
          </cell>
          <cell r="Y33">
            <v>104754</v>
          </cell>
          <cell r="Z33">
            <v>108630</v>
          </cell>
          <cell r="AA33">
            <v>5323200</v>
          </cell>
          <cell r="AB33">
            <v>5513531</v>
          </cell>
        </row>
        <row r="34">
          <cell r="A34">
            <v>36513</v>
          </cell>
          <cell r="B34">
            <v>59136274</v>
          </cell>
          <cell r="C34">
            <v>18282785</v>
          </cell>
          <cell r="D34">
            <v>10992799</v>
          </cell>
          <cell r="E34">
            <v>11432511</v>
          </cell>
          <cell r="H34">
            <v>267746</v>
          </cell>
          <cell r="I34">
            <v>267746</v>
          </cell>
          <cell r="L34">
            <v>3430</v>
          </cell>
          <cell r="M34">
            <v>3533</v>
          </cell>
          <cell r="X34">
            <v>376138</v>
          </cell>
          <cell r="Y34">
            <v>84213</v>
          </cell>
          <cell r="Z34">
            <v>87497</v>
          </cell>
          <cell r="AA34">
            <v>6642672</v>
          </cell>
          <cell r="AB34">
            <v>6896530</v>
          </cell>
        </row>
        <row r="35">
          <cell r="A35">
            <v>36543</v>
          </cell>
          <cell r="B35">
            <v>57820447</v>
          </cell>
          <cell r="C35">
            <v>21393060</v>
          </cell>
          <cell r="D35">
            <v>10222336</v>
          </cell>
          <cell r="E35">
            <v>10631230</v>
          </cell>
          <cell r="H35">
            <v>357583</v>
          </cell>
          <cell r="I35">
            <v>357583</v>
          </cell>
          <cell r="L35">
            <v>1535</v>
          </cell>
          <cell r="M35">
            <v>1581</v>
          </cell>
          <cell r="V35">
            <v>209582</v>
          </cell>
          <cell r="W35">
            <v>215689</v>
          </cell>
          <cell r="X35">
            <v>335537</v>
          </cell>
          <cell r="Y35">
            <v>107722</v>
          </cell>
          <cell r="Z35">
            <v>111600</v>
          </cell>
          <cell r="AA35">
            <v>10266487</v>
          </cell>
          <cell r="AB35">
            <v>10633358</v>
          </cell>
        </row>
        <row r="36">
          <cell r="A36">
            <v>36573</v>
          </cell>
          <cell r="B36">
            <v>45212816.5</v>
          </cell>
          <cell r="C36">
            <v>15809234</v>
          </cell>
          <cell r="D36">
            <v>6358033</v>
          </cell>
          <cell r="E36">
            <v>6612355</v>
          </cell>
          <cell r="F36">
            <v>0</v>
          </cell>
          <cell r="G36">
            <v>0</v>
          </cell>
          <cell r="H36">
            <v>9485</v>
          </cell>
          <cell r="I36">
            <v>9485</v>
          </cell>
          <cell r="J36">
            <v>0</v>
          </cell>
          <cell r="K36">
            <v>0</v>
          </cell>
          <cell r="L36">
            <v>5308</v>
          </cell>
          <cell r="M36">
            <v>5467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428948</v>
          </cell>
          <cell r="Y36">
            <v>232181</v>
          </cell>
          <cell r="Z36">
            <v>240772</v>
          </cell>
          <cell r="AA36">
            <v>9007460</v>
          </cell>
          <cell r="AB36">
            <v>9333929</v>
          </cell>
        </row>
        <row r="37">
          <cell r="A37">
            <v>36603</v>
          </cell>
          <cell r="B37">
            <v>30215216.26</v>
          </cell>
          <cell r="C37">
            <v>7648408</v>
          </cell>
          <cell r="D37">
            <v>4938829</v>
          </cell>
          <cell r="E37">
            <v>5136382</v>
          </cell>
          <cell r="F37">
            <v>0</v>
          </cell>
          <cell r="G37">
            <v>0</v>
          </cell>
          <cell r="H37">
            <v>659203</v>
          </cell>
          <cell r="I37">
            <v>659203</v>
          </cell>
          <cell r="J37">
            <v>0</v>
          </cell>
          <cell r="K37">
            <v>0</v>
          </cell>
          <cell r="L37">
            <v>4002</v>
          </cell>
          <cell r="M37">
            <v>4122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423315</v>
          </cell>
          <cell r="Y37">
            <v>190962</v>
          </cell>
          <cell r="Z37">
            <v>198028</v>
          </cell>
          <cell r="AA37">
            <v>1623059</v>
          </cell>
          <cell r="AB37">
            <v>1682981</v>
          </cell>
        </row>
        <row r="38">
          <cell r="A38">
            <v>36633</v>
          </cell>
          <cell r="B38">
            <v>37918551.45</v>
          </cell>
          <cell r="C38">
            <v>4770321</v>
          </cell>
          <cell r="D38">
            <v>623150</v>
          </cell>
          <cell r="E38">
            <v>648076</v>
          </cell>
          <cell r="F38">
            <v>0</v>
          </cell>
          <cell r="G38">
            <v>0</v>
          </cell>
          <cell r="H38">
            <v>281611</v>
          </cell>
          <cell r="I38">
            <v>281611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426761</v>
          </cell>
          <cell r="Y38">
            <v>206743</v>
          </cell>
          <cell r="Z38">
            <v>214806</v>
          </cell>
          <cell r="AA38">
            <v>3438799</v>
          </cell>
          <cell r="AB38">
            <v>3556749</v>
          </cell>
        </row>
        <row r="39">
          <cell r="A39">
            <v>36663</v>
          </cell>
          <cell r="B39">
            <v>9622552.24</v>
          </cell>
          <cell r="C39">
            <v>-1947050</v>
          </cell>
          <cell r="D39">
            <v>-491265</v>
          </cell>
          <cell r="E39">
            <v>-499666</v>
          </cell>
          <cell r="F39">
            <v>0</v>
          </cell>
          <cell r="G39">
            <v>0</v>
          </cell>
          <cell r="H39">
            <v>-281885</v>
          </cell>
          <cell r="I39">
            <v>-281885</v>
          </cell>
          <cell r="L39">
            <v>2651</v>
          </cell>
          <cell r="M39">
            <v>2731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123590</v>
          </cell>
          <cell r="Y39">
            <v>74591</v>
          </cell>
          <cell r="Z39">
            <v>77500</v>
          </cell>
          <cell r="AA39">
            <v>-1300141</v>
          </cell>
          <cell r="AB39">
            <v>-1311581</v>
          </cell>
        </row>
        <row r="40">
          <cell r="A40">
            <v>36693</v>
          </cell>
          <cell r="B40">
            <v>42434899.66</v>
          </cell>
          <cell r="C40">
            <v>5479381</v>
          </cell>
          <cell r="D40">
            <v>677102</v>
          </cell>
          <cell r="E40">
            <v>692937</v>
          </cell>
          <cell r="H40">
            <v>0</v>
          </cell>
          <cell r="I40">
            <v>0</v>
          </cell>
          <cell r="L40">
            <v>0</v>
          </cell>
          <cell r="M40">
            <v>0</v>
          </cell>
          <cell r="X40">
            <v>193828</v>
          </cell>
          <cell r="Y40">
            <v>62160</v>
          </cell>
          <cell r="Z40">
            <v>64460</v>
          </cell>
          <cell r="AA40">
            <v>4608451</v>
          </cell>
          <cell r="AB40">
            <v>4744022</v>
          </cell>
        </row>
        <row r="41">
          <cell r="A41">
            <v>36723</v>
          </cell>
          <cell r="B41">
            <v>27514988.32</v>
          </cell>
          <cell r="C41">
            <v>1611681</v>
          </cell>
          <cell r="D41">
            <v>19444</v>
          </cell>
          <cell r="E41">
            <v>20222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203569</v>
          </cell>
          <cell r="Y41">
            <v>57091</v>
          </cell>
          <cell r="Z41">
            <v>59489</v>
          </cell>
          <cell r="AA41">
            <v>1388668</v>
          </cell>
          <cell r="AB41">
            <v>1452963</v>
          </cell>
        </row>
        <row r="42">
          <cell r="A42">
            <v>36753</v>
          </cell>
          <cell r="B42">
            <v>2587053</v>
          </cell>
          <cell r="C42">
            <v>3198658</v>
          </cell>
          <cell r="D42">
            <v>114973</v>
          </cell>
          <cell r="E42">
            <v>119572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X42">
            <v>201759</v>
          </cell>
          <cell r="Y42">
            <v>60488</v>
          </cell>
          <cell r="Z42">
            <v>62968</v>
          </cell>
          <cell r="AA42">
            <v>2881926</v>
          </cell>
          <cell r="AB42">
            <v>3006418</v>
          </cell>
        </row>
        <row r="43">
          <cell r="A43">
            <v>36783</v>
          </cell>
          <cell r="B43">
            <v>23825755</v>
          </cell>
          <cell r="C43">
            <v>2603281</v>
          </cell>
          <cell r="D43">
            <v>12827</v>
          </cell>
          <cell r="E43">
            <v>13340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X43">
            <v>131623</v>
          </cell>
          <cell r="Y43">
            <v>0</v>
          </cell>
          <cell r="Z43">
            <v>0</v>
          </cell>
          <cell r="AA43">
            <v>2458835</v>
          </cell>
          <cell r="AB43">
            <v>2541328</v>
          </cell>
        </row>
        <row r="44">
          <cell r="A44">
            <v>36813</v>
          </cell>
          <cell r="B44">
            <v>36379187</v>
          </cell>
          <cell r="C44">
            <v>4280130</v>
          </cell>
          <cell r="D44">
            <v>633296</v>
          </cell>
          <cell r="E44">
            <v>658628</v>
          </cell>
          <cell r="F44">
            <v>0</v>
          </cell>
          <cell r="G44">
            <v>0</v>
          </cell>
          <cell r="H44">
            <v>3280</v>
          </cell>
          <cell r="I44">
            <v>3280</v>
          </cell>
          <cell r="X44">
            <v>246289</v>
          </cell>
          <cell r="Y44">
            <v>111991</v>
          </cell>
          <cell r="Z44">
            <v>117143</v>
          </cell>
          <cell r="AA44">
            <v>3397265</v>
          </cell>
          <cell r="AB44">
            <v>3513405</v>
          </cell>
        </row>
        <row r="45">
          <cell r="A45">
            <v>36843</v>
          </cell>
          <cell r="B45">
            <v>104953411</v>
          </cell>
          <cell r="C45">
            <v>17723254</v>
          </cell>
          <cell r="D45">
            <v>7634423</v>
          </cell>
          <cell r="E45">
            <v>7939800</v>
          </cell>
          <cell r="H45">
            <v>3479</v>
          </cell>
          <cell r="I45">
            <v>3479</v>
          </cell>
          <cell r="X45">
            <v>360740</v>
          </cell>
          <cell r="Y45">
            <v>215384</v>
          </cell>
          <cell r="Z45">
            <v>224861</v>
          </cell>
          <cell r="AA45">
            <v>9724612</v>
          </cell>
          <cell r="AB45">
            <v>10154983</v>
          </cell>
        </row>
        <row r="46">
          <cell r="A46">
            <v>36873</v>
          </cell>
          <cell r="B46">
            <v>159409413</v>
          </cell>
          <cell r="C46">
            <v>22036645</v>
          </cell>
          <cell r="D46">
            <v>6028001</v>
          </cell>
          <cell r="E46">
            <v>6269121</v>
          </cell>
          <cell r="H46">
            <v>425807</v>
          </cell>
          <cell r="I46">
            <v>425807</v>
          </cell>
          <cell r="X46">
            <v>795937</v>
          </cell>
          <cell r="Y46">
            <v>400304</v>
          </cell>
          <cell r="Z46">
            <v>416316</v>
          </cell>
          <cell r="AA46">
            <v>14786900</v>
          </cell>
          <cell r="AB46">
            <v>15378223</v>
          </cell>
        </row>
        <row r="47">
          <cell r="A47">
            <v>36903</v>
          </cell>
          <cell r="B47">
            <v>152939736</v>
          </cell>
          <cell r="C47">
            <v>20722539</v>
          </cell>
          <cell r="D47">
            <v>6903173</v>
          </cell>
          <cell r="E47">
            <v>7179300</v>
          </cell>
          <cell r="H47">
            <v>775362</v>
          </cell>
          <cell r="I47">
            <v>775362</v>
          </cell>
          <cell r="X47">
            <v>709256</v>
          </cell>
          <cell r="Y47">
            <v>496613</v>
          </cell>
          <cell r="Z47">
            <v>516478</v>
          </cell>
          <cell r="AA47">
            <v>12334748</v>
          </cell>
          <cell r="AB47">
            <v>12826111</v>
          </cell>
        </row>
        <row r="48">
          <cell r="A48">
            <v>36933</v>
          </cell>
          <cell r="B48">
            <v>87498224</v>
          </cell>
          <cell r="C48">
            <v>13076101</v>
          </cell>
          <cell r="D48">
            <v>5166664</v>
          </cell>
          <cell r="E48">
            <v>5373330</v>
          </cell>
          <cell r="H48">
            <v>548982</v>
          </cell>
          <cell r="I48">
            <v>548982</v>
          </cell>
          <cell r="V48">
            <v>29302</v>
          </cell>
          <cell r="W48">
            <v>30181</v>
          </cell>
          <cell r="X48">
            <v>630414</v>
          </cell>
          <cell r="Y48">
            <v>413537</v>
          </cell>
          <cell r="Z48">
            <v>431733</v>
          </cell>
          <cell r="AA48">
            <v>6700739</v>
          </cell>
          <cell r="AB48">
            <v>7003652</v>
          </cell>
        </row>
        <row r="49">
          <cell r="A49">
            <v>36963</v>
          </cell>
          <cell r="B49">
            <v>95675506</v>
          </cell>
          <cell r="C49">
            <v>15661940</v>
          </cell>
          <cell r="D49">
            <v>10881403</v>
          </cell>
          <cell r="E49">
            <v>11316659</v>
          </cell>
          <cell r="H49">
            <v>154992</v>
          </cell>
          <cell r="I49">
            <v>154992</v>
          </cell>
          <cell r="V49">
            <v>281553</v>
          </cell>
          <cell r="W49">
            <v>290000</v>
          </cell>
          <cell r="X49">
            <v>477633</v>
          </cell>
          <cell r="Y49">
            <v>287877</v>
          </cell>
          <cell r="Z49">
            <v>299824</v>
          </cell>
          <cell r="AA49">
            <v>3866359</v>
          </cell>
          <cell r="AB49">
            <v>4023649</v>
          </cell>
        </row>
        <row r="50">
          <cell r="A50">
            <v>36993</v>
          </cell>
          <cell r="B50">
            <v>30991636</v>
          </cell>
          <cell r="C50">
            <v>4682927</v>
          </cell>
          <cell r="D50">
            <v>1012920</v>
          </cell>
          <cell r="E50">
            <v>1053437</v>
          </cell>
          <cell r="H50">
            <v>0</v>
          </cell>
          <cell r="I50">
            <v>0</v>
          </cell>
          <cell r="V50">
            <v>126039</v>
          </cell>
          <cell r="W50">
            <v>129819</v>
          </cell>
          <cell r="X50">
            <v>454541</v>
          </cell>
          <cell r="Y50">
            <v>213441</v>
          </cell>
          <cell r="Z50">
            <v>222299</v>
          </cell>
          <cell r="AA50">
            <v>3089427</v>
          </cell>
          <cell r="AB50">
            <v>3112580</v>
          </cell>
        </row>
        <row r="51">
          <cell r="A51">
            <v>37023</v>
          </cell>
          <cell r="B51">
            <v>-1672915</v>
          </cell>
          <cell r="C51">
            <v>1071871</v>
          </cell>
          <cell r="D51">
            <v>-99594</v>
          </cell>
          <cell r="E51">
            <v>-103578</v>
          </cell>
          <cell r="H51">
            <v>6416</v>
          </cell>
          <cell r="I51">
            <v>6416</v>
          </cell>
          <cell r="V51">
            <v>0</v>
          </cell>
          <cell r="W51">
            <v>0</v>
          </cell>
          <cell r="X51">
            <v>150108</v>
          </cell>
          <cell r="Y51">
            <v>123796</v>
          </cell>
          <cell r="Z51">
            <v>129020</v>
          </cell>
          <cell r="AA51">
            <v>1016223</v>
          </cell>
          <cell r="AB51">
            <v>1168017</v>
          </cell>
        </row>
        <row r="52">
          <cell r="A52">
            <v>37053</v>
          </cell>
          <cell r="B52">
            <v>22854483</v>
          </cell>
          <cell r="C52">
            <v>3055094</v>
          </cell>
          <cell r="D52">
            <v>17950</v>
          </cell>
          <cell r="E52">
            <v>18668</v>
          </cell>
          <cell r="H52">
            <v>0</v>
          </cell>
          <cell r="I52">
            <v>0</v>
          </cell>
          <cell r="V52">
            <v>0</v>
          </cell>
          <cell r="W52">
            <v>0</v>
          </cell>
          <cell r="X52">
            <v>202511</v>
          </cell>
          <cell r="Y52">
            <v>64857</v>
          </cell>
          <cell r="Z52">
            <v>67613</v>
          </cell>
          <cell r="AA52">
            <v>2834633</v>
          </cell>
          <cell r="AB52">
            <v>2917215</v>
          </cell>
        </row>
        <row r="53">
          <cell r="A53">
            <v>37083</v>
          </cell>
          <cell r="B53">
            <v>12767612</v>
          </cell>
          <cell r="C53">
            <v>1275839</v>
          </cell>
          <cell r="D53">
            <v>323</v>
          </cell>
          <cell r="E53">
            <v>336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184246</v>
          </cell>
          <cell r="Y53">
            <v>61157</v>
          </cell>
          <cell r="Z53">
            <v>63640</v>
          </cell>
          <cell r="AA53">
            <v>1092509</v>
          </cell>
          <cell r="AB53">
            <v>1155407</v>
          </cell>
        </row>
        <row r="54">
          <cell r="A54">
            <v>37113</v>
          </cell>
          <cell r="B54">
            <v>23535669</v>
          </cell>
          <cell r="C54">
            <v>2851378</v>
          </cell>
          <cell r="D54">
            <v>68254</v>
          </cell>
          <cell r="E54">
            <v>70984</v>
          </cell>
          <cell r="H54">
            <v>0</v>
          </cell>
          <cell r="I54">
            <v>0</v>
          </cell>
          <cell r="X54">
            <v>197896</v>
          </cell>
          <cell r="Y54">
            <v>62594</v>
          </cell>
          <cell r="Z54">
            <v>65185</v>
          </cell>
          <cell r="AA54">
            <v>2585760</v>
          </cell>
          <cell r="AB54">
            <v>2701232</v>
          </cell>
        </row>
        <row r="55">
          <cell r="A55">
            <v>37143</v>
          </cell>
          <cell r="B55">
            <v>27076886</v>
          </cell>
          <cell r="C55">
            <v>1626765</v>
          </cell>
          <cell r="D55">
            <v>-384564</v>
          </cell>
          <cell r="E55">
            <v>399947</v>
          </cell>
          <cell r="H55">
            <v>3633</v>
          </cell>
          <cell r="I55">
            <v>3633</v>
          </cell>
          <cell r="X55">
            <v>219335</v>
          </cell>
          <cell r="Y55">
            <v>86148</v>
          </cell>
          <cell r="Z55">
            <v>89723</v>
          </cell>
          <cell r="AA55">
            <v>1788831</v>
          </cell>
          <cell r="AB55">
            <v>1889088</v>
          </cell>
        </row>
        <row r="56">
          <cell r="A56">
            <v>37173</v>
          </cell>
          <cell r="B56">
            <v>60924148</v>
          </cell>
          <cell r="C56">
            <v>6579758</v>
          </cell>
          <cell r="D56">
            <v>1769813</v>
          </cell>
          <cell r="E56">
            <v>1040712</v>
          </cell>
          <cell r="H56">
            <v>48</v>
          </cell>
          <cell r="I56">
            <v>48</v>
          </cell>
          <cell r="X56">
            <v>208996</v>
          </cell>
          <cell r="Y56">
            <v>94314</v>
          </cell>
          <cell r="Z56">
            <v>98039</v>
          </cell>
          <cell r="AA56">
            <v>4600901</v>
          </cell>
          <cell r="AB56">
            <v>4901835</v>
          </cell>
        </row>
        <row r="57">
          <cell r="A57">
            <v>37203</v>
          </cell>
          <cell r="B57">
            <v>48949212</v>
          </cell>
          <cell r="C57">
            <v>6900088</v>
          </cell>
          <cell r="D57">
            <v>1477437</v>
          </cell>
          <cell r="E57">
            <v>1536535</v>
          </cell>
          <cell r="H57">
            <v>0</v>
          </cell>
          <cell r="I57">
            <v>0</v>
          </cell>
          <cell r="X57">
            <v>434401</v>
          </cell>
          <cell r="Y57">
            <v>288246</v>
          </cell>
          <cell r="Z57">
            <v>299833</v>
          </cell>
          <cell r="AA57">
            <v>4988250</v>
          </cell>
          <cell r="AB57">
            <v>5189069</v>
          </cell>
        </row>
        <row r="58">
          <cell r="A58">
            <v>37233</v>
          </cell>
          <cell r="B58">
            <v>104270325</v>
          </cell>
          <cell r="C58">
            <v>13770463</v>
          </cell>
          <cell r="D58">
            <v>9355312</v>
          </cell>
          <cell r="E58">
            <v>9729525</v>
          </cell>
          <cell r="H58">
            <v>0</v>
          </cell>
          <cell r="I58">
            <v>0</v>
          </cell>
          <cell r="X58">
            <v>675816</v>
          </cell>
          <cell r="Y58">
            <v>377588</v>
          </cell>
          <cell r="Z58">
            <v>392654</v>
          </cell>
          <cell r="AA58">
            <v>3739104</v>
          </cell>
          <cell r="AB58">
            <v>3888188</v>
          </cell>
        </row>
        <row r="59">
          <cell r="A59">
            <v>37263</v>
          </cell>
          <cell r="B59">
            <v>70461447</v>
          </cell>
          <cell r="C59">
            <v>14654742</v>
          </cell>
          <cell r="D59">
            <v>8472993</v>
          </cell>
          <cell r="E59">
            <v>8811912</v>
          </cell>
          <cell r="H59">
            <v>1927</v>
          </cell>
          <cell r="I59">
            <v>1927</v>
          </cell>
          <cell r="X59">
            <v>724120</v>
          </cell>
          <cell r="Y59">
            <v>508999</v>
          </cell>
          <cell r="Z59">
            <v>528036</v>
          </cell>
          <cell r="AA59">
            <v>5461838</v>
          </cell>
          <cell r="AB59">
            <v>5657610</v>
          </cell>
        </row>
        <row r="60">
          <cell r="A60">
            <v>37293</v>
          </cell>
          <cell r="B60">
            <v>64238022</v>
          </cell>
          <cell r="C60">
            <v>19889206</v>
          </cell>
          <cell r="D60">
            <v>14016084</v>
          </cell>
          <cell r="E60">
            <v>14576728</v>
          </cell>
          <cell r="H60">
            <v>1251</v>
          </cell>
          <cell r="I60">
            <v>1251</v>
          </cell>
          <cell r="X60">
            <v>586690</v>
          </cell>
          <cell r="Y60">
            <v>374920</v>
          </cell>
          <cell r="Z60">
            <v>388005</v>
          </cell>
          <cell r="AA60">
            <v>1943053</v>
          </cell>
          <cell r="AB60">
            <v>2014207</v>
          </cell>
        </row>
        <row r="61">
          <cell r="A61">
            <v>37323</v>
          </cell>
          <cell r="B61">
            <v>45837281</v>
          </cell>
          <cell r="C61">
            <v>12353594</v>
          </cell>
          <cell r="D61">
            <v>10602031</v>
          </cell>
          <cell r="E61">
            <v>11026112</v>
          </cell>
          <cell r="H61">
            <v>83568</v>
          </cell>
          <cell r="I61">
            <v>83568</v>
          </cell>
          <cell r="X61">
            <v>444178</v>
          </cell>
          <cell r="Y61">
            <v>271467</v>
          </cell>
          <cell r="Z61">
            <v>281783</v>
          </cell>
          <cell r="AA61">
            <v>1226451</v>
          </cell>
          <cell r="AB61">
            <v>1325573</v>
          </cell>
        </row>
        <row r="62">
          <cell r="A62">
            <v>37353</v>
          </cell>
          <cell r="B62">
            <v>36359478</v>
          </cell>
          <cell r="C62">
            <v>6501829</v>
          </cell>
          <cell r="D62">
            <v>553501</v>
          </cell>
          <cell r="E62">
            <v>575618</v>
          </cell>
          <cell r="H62">
            <v>-23</v>
          </cell>
          <cell r="I62">
            <v>-23</v>
          </cell>
          <cell r="X62">
            <v>472905</v>
          </cell>
          <cell r="Y62">
            <v>251845</v>
          </cell>
          <cell r="Z62">
            <v>261465</v>
          </cell>
          <cell r="AA62">
            <v>5472375</v>
          </cell>
          <cell r="AB62">
            <v>5628271</v>
          </cell>
        </row>
        <row r="63">
          <cell r="A63">
            <v>37383</v>
          </cell>
          <cell r="B63">
            <v>34917048</v>
          </cell>
          <cell r="C63">
            <v>4678186</v>
          </cell>
          <cell r="D63">
            <v>-120433</v>
          </cell>
          <cell r="E63">
            <v>-125251</v>
          </cell>
          <cell r="H63">
            <v>522</v>
          </cell>
          <cell r="I63">
            <v>522</v>
          </cell>
          <cell r="X63">
            <v>158281</v>
          </cell>
          <cell r="Y63">
            <v>119399</v>
          </cell>
          <cell r="Z63">
            <v>123805</v>
          </cell>
          <cell r="AA63">
            <v>4640990</v>
          </cell>
          <cell r="AB63">
            <v>4684623</v>
          </cell>
        </row>
        <row r="64">
          <cell r="A64">
            <v>37413</v>
          </cell>
          <cell r="B64">
            <v>34980107</v>
          </cell>
          <cell r="C64">
            <v>1121591</v>
          </cell>
          <cell r="D64">
            <v>-2738</v>
          </cell>
          <cell r="E64">
            <v>-2847</v>
          </cell>
          <cell r="H64">
            <v>462</v>
          </cell>
          <cell r="I64">
            <v>462</v>
          </cell>
          <cell r="X64">
            <v>259541</v>
          </cell>
          <cell r="Y64">
            <v>119078</v>
          </cell>
          <cell r="Z64">
            <v>123805</v>
          </cell>
          <cell r="AA64">
            <v>864326</v>
          </cell>
          <cell r="AB64">
            <v>1015147</v>
          </cell>
        </row>
        <row r="65">
          <cell r="A65">
            <v>37443</v>
          </cell>
          <cell r="B65">
            <v>15931025</v>
          </cell>
          <cell r="C65">
            <v>879924</v>
          </cell>
          <cell r="D65">
            <v>0</v>
          </cell>
          <cell r="E65">
            <v>0</v>
          </cell>
          <cell r="H65">
            <v>-26</v>
          </cell>
          <cell r="I65">
            <v>-26</v>
          </cell>
          <cell r="X65">
            <v>182992</v>
          </cell>
          <cell r="Y65">
            <v>60283</v>
          </cell>
          <cell r="Z65">
            <v>62737</v>
          </cell>
          <cell r="AA65">
            <v>696958</v>
          </cell>
          <cell r="AB65">
            <v>735163</v>
          </cell>
        </row>
        <row r="66">
          <cell r="A66">
            <v>37473</v>
          </cell>
          <cell r="B66">
            <v>14460264</v>
          </cell>
          <cell r="C66">
            <v>6177896</v>
          </cell>
          <cell r="D66">
            <v>0</v>
          </cell>
          <cell r="E66">
            <v>0</v>
          </cell>
          <cell r="H66">
            <v>587</v>
          </cell>
          <cell r="I66">
            <v>587</v>
          </cell>
          <cell r="X66">
            <v>196489</v>
          </cell>
          <cell r="Y66">
            <v>65198</v>
          </cell>
          <cell r="Z66">
            <v>67956</v>
          </cell>
          <cell r="AA66">
            <v>5980820</v>
          </cell>
          <cell r="AB66">
            <v>6257870</v>
          </cell>
        </row>
        <row r="67">
          <cell r="A67">
            <v>37503</v>
          </cell>
          <cell r="B67">
            <v>14774837</v>
          </cell>
          <cell r="C67">
            <v>-3923235</v>
          </cell>
          <cell r="D67">
            <v>0</v>
          </cell>
          <cell r="E67">
            <v>0</v>
          </cell>
          <cell r="H67">
            <v>3585</v>
          </cell>
          <cell r="I67">
            <v>3585</v>
          </cell>
          <cell r="X67">
            <v>210680</v>
          </cell>
          <cell r="Y67">
            <v>66154</v>
          </cell>
          <cell r="Z67">
            <v>68846</v>
          </cell>
          <cell r="AA67">
            <v>-4137500</v>
          </cell>
          <cell r="AB67">
            <v>-4299861</v>
          </cell>
        </row>
        <row r="68">
          <cell r="A68">
            <v>37533</v>
          </cell>
          <cell r="B68">
            <v>44823474</v>
          </cell>
          <cell r="C68">
            <v>5711105</v>
          </cell>
          <cell r="D68">
            <v>386910</v>
          </cell>
          <cell r="E68">
            <v>402386</v>
          </cell>
          <cell r="H68">
            <v>2895</v>
          </cell>
          <cell r="I68">
            <v>2895</v>
          </cell>
          <cell r="X68">
            <v>222988</v>
          </cell>
          <cell r="Y68">
            <v>94855</v>
          </cell>
          <cell r="Z68">
            <v>98602</v>
          </cell>
          <cell r="AA68">
            <v>5098312</v>
          </cell>
          <cell r="AB68">
            <v>5294589</v>
          </cell>
        </row>
        <row r="69">
          <cell r="A69">
            <v>37563</v>
          </cell>
          <cell r="B69">
            <v>68273545</v>
          </cell>
          <cell r="C69">
            <v>12561329</v>
          </cell>
          <cell r="D69">
            <v>6274562</v>
          </cell>
          <cell r="E69">
            <v>6525544</v>
          </cell>
          <cell r="H69">
            <v>2980</v>
          </cell>
          <cell r="I69">
            <v>2980</v>
          </cell>
          <cell r="X69">
            <v>408213</v>
          </cell>
          <cell r="Y69">
            <v>288156</v>
          </cell>
          <cell r="Z69">
            <v>299308</v>
          </cell>
          <cell r="AA69">
            <v>5875574</v>
          </cell>
          <cell r="AB69">
            <v>6101964</v>
          </cell>
        </row>
        <row r="70">
          <cell r="A70">
            <v>37593</v>
          </cell>
          <cell r="B70">
            <v>94360002</v>
          </cell>
          <cell r="C70">
            <v>19587227</v>
          </cell>
          <cell r="D70">
            <v>14264255</v>
          </cell>
          <cell r="E70">
            <v>14834825</v>
          </cell>
          <cell r="H70">
            <v>3770</v>
          </cell>
          <cell r="I70">
            <v>3770</v>
          </cell>
          <cell r="X70">
            <v>666805</v>
          </cell>
          <cell r="Y70">
            <v>380749</v>
          </cell>
          <cell r="Z70">
            <v>395484</v>
          </cell>
          <cell r="AA70">
            <v>4652397</v>
          </cell>
          <cell r="AB70">
            <v>4830533</v>
          </cell>
        </row>
        <row r="71">
          <cell r="A71">
            <v>37623</v>
          </cell>
          <cell r="B71">
            <v>142205694</v>
          </cell>
          <cell r="C71">
            <v>24532208</v>
          </cell>
          <cell r="D71">
            <v>18735113</v>
          </cell>
          <cell r="E71">
            <v>19484518</v>
          </cell>
          <cell r="H71">
            <v>4949</v>
          </cell>
          <cell r="I71">
            <v>4949</v>
          </cell>
          <cell r="X71">
            <v>735815</v>
          </cell>
          <cell r="Y71">
            <v>527677</v>
          </cell>
          <cell r="Z71">
            <v>545829</v>
          </cell>
          <cell r="AA71">
            <v>5056331</v>
          </cell>
          <cell r="AB71">
            <v>5203701</v>
          </cell>
        </row>
        <row r="72">
          <cell r="A72">
            <v>37653</v>
          </cell>
          <cell r="B72">
            <v>118539956</v>
          </cell>
          <cell r="C72">
            <v>19691741</v>
          </cell>
          <cell r="D72">
            <v>11031523</v>
          </cell>
          <cell r="E72">
            <v>11474493</v>
          </cell>
          <cell r="H72">
            <v>1709</v>
          </cell>
          <cell r="I72">
            <v>1709</v>
          </cell>
          <cell r="X72">
            <v>585484</v>
          </cell>
          <cell r="Y72">
            <v>376296</v>
          </cell>
          <cell r="Z72">
            <v>389843</v>
          </cell>
          <cell r="AA72">
            <v>8073025</v>
          </cell>
          <cell r="AB72">
            <v>8351236</v>
          </cell>
        </row>
        <row r="73">
          <cell r="A73">
            <v>37683</v>
          </cell>
          <cell r="B73">
            <v>101235068</v>
          </cell>
          <cell r="C73">
            <v>8818810</v>
          </cell>
          <cell r="D73">
            <v>5882667</v>
          </cell>
          <cell r="E73">
            <v>6117973</v>
          </cell>
          <cell r="H73">
            <v>2488</v>
          </cell>
          <cell r="I73">
            <v>2488</v>
          </cell>
          <cell r="X73">
            <v>439104</v>
          </cell>
          <cell r="Y73">
            <v>272517</v>
          </cell>
          <cell r="Z73">
            <v>282899</v>
          </cell>
          <cell r="AA73">
            <v>2494551</v>
          </cell>
          <cell r="AB73">
            <v>2577467</v>
          </cell>
        </row>
        <row r="74">
          <cell r="A74">
            <v>37713</v>
          </cell>
          <cell r="B74">
            <v>31761475</v>
          </cell>
          <cell r="C74">
            <v>4850703</v>
          </cell>
          <cell r="D74">
            <v>935309</v>
          </cell>
          <cell r="E74">
            <v>972721</v>
          </cell>
          <cell r="H74">
            <v>-20</v>
          </cell>
          <cell r="I74">
            <v>-20</v>
          </cell>
          <cell r="X74">
            <v>463753</v>
          </cell>
          <cell r="Y74">
            <v>251502</v>
          </cell>
          <cell r="Z74">
            <v>261613</v>
          </cell>
          <cell r="AA74">
            <v>3451661</v>
          </cell>
          <cell r="AB74">
            <v>3600212</v>
          </cell>
        </row>
        <row r="75">
          <cell r="A75">
            <v>37743</v>
          </cell>
          <cell r="B75">
            <v>12672459</v>
          </cell>
          <cell r="C75">
            <v>1865801</v>
          </cell>
          <cell r="D75">
            <v>117924</v>
          </cell>
          <cell r="E75">
            <v>122641</v>
          </cell>
          <cell r="H75">
            <v>0</v>
          </cell>
          <cell r="I75">
            <v>0</v>
          </cell>
          <cell r="X75">
            <v>169222</v>
          </cell>
          <cell r="Y75">
            <v>119153</v>
          </cell>
          <cell r="Z75">
            <v>123859</v>
          </cell>
          <cell r="AA75">
            <v>1578655</v>
          </cell>
          <cell r="AB75">
            <v>1639862</v>
          </cell>
        </row>
        <row r="76">
          <cell r="A76">
            <v>37773</v>
          </cell>
          <cell r="B76">
            <v>25964168</v>
          </cell>
          <cell r="C76">
            <v>1809072</v>
          </cell>
          <cell r="D76">
            <v>-148729</v>
          </cell>
          <cell r="E76">
            <v>-154678</v>
          </cell>
          <cell r="H76">
            <v>0</v>
          </cell>
          <cell r="I76">
            <v>0</v>
          </cell>
          <cell r="X76">
            <v>194484</v>
          </cell>
          <cell r="Y76">
            <v>64380</v>
          </cell>
          <cell r="Z76">
            <v>67161</v>
          </cell>
          <cell r="AA76">
            <v>1763317</v>
          </cell>
          <cell r="AB76">
            <v>1879064</v>
          </cell>
        </row>
        <row r="77">
          <cell r="A77">
            <v>37803</v>
          </cell>
          <cell r="B77">
            <v>15229882</v>
          </cell>
          <cell r="C77">
            <v>1556893</v>
          </cell>
          <cell r="D77">
            <v>129933</v>
          </cell>
          <cell r="E77">
            <v>135130</v>
          </cell>
          <cell r="H77">
            <v>0</v>
          </cell>
          <cell r="I77">
            <v>0</v>
          </cell>
          <cell r="X77">
            <v>179140</v>
          </cell>
          <cell r="Y77">
            <v>60104</v>
          </cell>
          <cell r="Z77">
            <v>62766</v>
          </cell>
          <cell r="AA77">
            <v>1247820</v>
          </cell>
          <cell r="AB77">
            <v>1365150</v>
          </cell>
        </row>
        <row r="78">
          <cell r="A78">
            <v>37834</v>
          </cell>
          <cell r="B78">
            <v>22423739</v>
          </cell>
          <cell r="C78">
            <v>1676892</v>
          </cell>
          <cell r="D78">
            <v>97925</v>
          </cell>
          <cell r="E78">
            <v>101842</v>
          </cell>
          <cell r="H78">
            <v>0</v>
          </cell>
          <cell r="I78">
            <v>0</v>
          </cell>
          <cell r="X78">
            <v>196700</v>
          </cell>
          <cell r="Y78">
            <v>65092</v>
          </cell>
          <cell r="Z78">
            <v>67950</v>
          </cell>
          <cell r="AA78">
            <v>1382267</v>
          </cell>
          <cell r="AB78">
            <v>1488092</v>
          </cell>
        </row>
        <row r="79">
          <cell r="A79">
            <v>37865</v>
          </cell>
          <cell r="B79">
            <v>44420728</v>
          </cell>
          <cell r="C79">
            <v>2275305</v>
          </cell>
          <cell r="D79">
            <v>52331</v>
          </cell>
          <cell r="E79">
            <v>54425</v>
          </cell>
          <cell r="H79">
            <v>0</v>
          </cell>
          <cell r="I79">
            <v>0</v>
          </cell>
          <cell r="X79">
            <v>194444</v>
          </cell>
          <cell r="Y79">
            <v>65812</v>
          </cell>
          <cell r="Z79">
            <v>68688</v>
          </cell>
          <cell r="AA79">
            <v>2028530</v>
          </cell>
          <cell r="AB79">
            <v>2161414</v>
          </cell>
        </row>
        <row r="80">
          <cell r="A80">
            <v>37896</v>
          </cell>
          <cell r="B80">
            <v>40127504</v>
          </cell>
          <cell r="C80">
            <v>4983632</v>
          </cell>
          <cell r="D80">
            <v>206157</v>
          </cell>
          <cell r="E80">
            <v>214403</v>
          </cell>
          <cell r="H80">
            <v>0</v>
          </cell>
          <cell r="I80">
            <v>0</v>
          </cell>
          <cell r="X80">
            <v>208476</v>
          </cell>
          <cell r="Y80">
            <v>95788</v>
          </cell>
          <cell r="Z80">
            <v>99898</v>
          </cell>
          <cell r="AA80">
            <v>4568999</v>
          </cell>
          <cell r="AB80">
            <v>4783849</v>
          </cell>
        </row>
        <row r="81">
          <cell r="A81">
            <v>37927</v>
          </cell>
          <cell r="B81">
            <v>54302142</v>
          </cell>
          <cell r="C81">
            <v>6894415</v>
          </cell>
          <cell r="D81">
            <v>3686341</v>
          </cell>
          <cell r="E81">
            <v>3833795</v>
          </cell>
          <cell r="X81">
            <v>351344</v>
          </cell>
          <cell r="Y81">
            <v>224230</v>
          </cell>
          <cell r="Z81">
            <v>234072</v>
          </cell>
          <cell r="AA81">
            <v>2856730</v>
          </cell>
          <cell r="AB81">
            <v>2981943</v>
          </cell>
        </row>
        <row r="82">
          <cell r="A82">
            <v>37958</v>
          </cell>
          <cell r="B82">
            <v>114407865</v>
          </cell>
          <cell r="C82">
            <v>15608891</v>
          </cell>
          <cell r="D82">
            <v>9071658</v>
          </cell>
          <cell r="E82">
            <v>9434525</v>
          </cell>
          <cell r="H82">
            <v>178986</v>
          </cell>
          <cell r="I82">
            <v>178986</v>
          </cell>
          <cell r="X82">
            <v>685959</v>
          </cell>
          <cell r="Y82">
            <v>402230</v>
          </cell>
          <cell r="Z82">
            <v>419357</v>
          </cell>
          <cell r="AA82">
            <v>5672298</v>
          </cell>
          <cell r="AB82">
            <v>5910170</v>
          </cell>
        </row>
        <row r="83">
          <cell r="A83">
            <v>37989</v>
          </cell>
          <cell r="B83">
            <v>136387145</v>
          </cell>
          <cell r="C83">
            <v>23422561</v>
          </cell>
          <cell r="D83">
            <v>18113921</v>
          </cell>
          <cell r="E83">
            <v>18838477</v>
          </cell>
          <cell r="H83">
            <v>181282</v>
          </cell>
          <cell r="I83">
            <v>181282</v>
          </cell>
          <cell r="X83">
            <v>761409</v>
          </cell>
          <cell r="Y83">
            <v>552879</v>
          </cell>
          <cell r="Z83">
            <v>573833</v>
          </cell>
          <cell r="AA83">
            <v>4365949</v>
          </cell>
          <cell r="AB83">
            <v>4516003</v>
          </cell>
        </row>
        <row r="84">
          <cell r="A84">
            <v>38020</v>
          </cell>
          <cell r="B84">
            <v>85656318</v>
          </cell>
          <cell r="C84">
            <v>15286273</v>
          </cell>
          <cell r="D84">
            <v>9362548</v>
          </cell>
          <cell r="E84">
            <v>9737050</v>
          </cell>
          <cell r="H84">
            <v>171122</v>
          </cell>
          <cell r="I84">
            <v>171122</v>
          </cell>
          <cell r="X84">
            <v>652774</v>
          </cell>
          <cell r="Y84">
            <v>458932</v>
          </cell>
          <cell r="Z84">
            <v>475683</v>
          </cell>
          <cell r="AA84">
            <v>5099829</v>
          </cell>
          <cell r="AB84">
            <v>5277613</v>
          </cell>
        </row>
        <row r="85">
          <cell r="A85">
            <v>38051</v>
          </cell>
          <cell r="B85">
            <v>94384069</v>
          </cell>
          <cell r="C85">
            <v>11455473</v>
          </cell>
          <cell r="D85">
            <v>7571116</v>
          </cell>
          <cell r="E85">
            <v>7873960</v>
          </cell>
          <cell r="H85">
            <v>1059</v>
          </cell>
          <cell r="I85">
            <v>1059</v>
          </cell>
          <cell r="X85">
            <v>624570</v>
          </cell>
          <cell r="Y85">
            <v>442835</v>
          </cell>
          <cell r="Z85">
            <v>460181</v>
          </cell>
          <cell r="AA85">
            <v>3258728</v>
          </cell>
          <cell r="AB85">
            <v>3372526</v>
          </cell>
        </row>
        <row r="86">
          <cell r="A86">
            <v>38082</v>
          </cell>
          <cell r="B86">
            <v>40218513</v>
          </cell>
          <cell r="C86">
            <v>5447608</v>
          </cell>
          <cell r="D86">
            <v>794841</v>
          </cell>
          <cell r="E86">
            <v>826635</v>
          </cell>
          <cell r="H86">
            <v>68</v>
          </cell>
          <cell r="I86">
            <v>68</v>
          </cell>
          <cell r="X86">
            <v>453417</v>
          </cell>
          <cell r="Y86">
            <v>255462</v>
          </cell>
          <cell r="Z86">
            <v>265017</v>
          </cell>
          <cell r="AA86">
            <v>4199282</v>
          </cell>
          <cell r="AB86">
            <v>4359410</v>
          </cell>
        </row>
        <row r="87">
          <cell r="A87">
            <v>38113</v>
          </cell>
          <cell r="B87">
            <v>25639788</v>
          </cell>
          <cell r="C87">
            <v>1268565</v>
          </cell>
          <cell r="D87">
            <v>-203064</v>
          </cell>
          <cell r="E87">
            <v>-211187</v>
          </cell>
          <cell r="H87">
            <v>0</v>
          </cell>
          <cell r="I87">
            <v>0</v>
          </cell>
          <cell r="X87">
            <v>147113</v>
          </cell>
          <cell r="Y87">
            <v>121477</v>
          </cell>
          <cell r="Z87">
            <v>125996</v>
          </cell>
          <cell r="AA87">
            <v>1324516</v>
          </cell>
          <cell r="AB87">
            <v>1361469</v>
          </cell>
        </row>
        <row r="88">
          <cell r="A88">
            <v>38143</v>
          </cell>
          <cell r="B88">
            <v>46607620</v>
          </cell>
          <cell r="C88">
            <v>1347276</v>
          </cell>
          <cell r="D88">
            <v>-35952</v>
          </cell>
          <cell r="E88">
            <v>-37390</v>
          </cell>
          <cell r="H88">
            <v>1954</v>
          </cell>
          <cell r="I88">
            <v>1954</v>
          </cell>
          <cell r="X88">
            <v>192311</v>
          </cell>
          <cell r="Y88">
            <v>66553</v>
          </cell>
          <cell r="Z88">
            <v>69062</v>
          </cell>
          <cell r="AA88">
            <v>1188963</v>
          </cell>
          <cell r="AB88">
            <v>1222975</v>
          </cell>
        </row>
        <row r="89">
          <cell r="A89">
            <v>38174</v>
          </cell>
          <cell r="B89">
            <v>22237580</v>
          </cell>
          <cell r="C89">
            <v>1260088</v>
          </cell>
          <cell r="D89">
            <v>200390</v>
          </cell>
          <cell r="E89">
            <v>208406</v>
          </cell>
          <cell r="H89">
            <v>160</v>
          </cell>
          <cell r="I89">
            <v>160</v>
          </cell>
          <cell r="X89">
            <v>182817</v>
          </cell>
          <cell r="Y89">
            <v>69609</v>
          </cell>
          <cell r="Z89">
            <v>72484</v>
          </cell>
          <cell r="AA89">
            <v>876721</v>
          </cell>
          <cell r="AB89">
            <v>1040379</v>
          </cell>
        </row>
        <row r="90">
          <cell r="A90">
            <v>38205</v>
          </cell>
          <cell r="B90">
            <v>31439831.73</v>
          </cell>
          <cell r="C90">
            <v>3426104</v>
          </cell>
          <cell r="D90">
            <v>548830</v>
          </cell>
          <cell r="E90">
            <v>570792</v>
          </cell>
          <cell r="H90">
            <v>0</v>
          </cell>
          <cell r="I90">
            <v>0</v>
          </cell>
          <cell r="X90">
            <v>319205</v>
          </cell>
          <cell r="Y90">
            <v>203906</v>
          </cell>
          <cell r="Z90">
            <v>211940</v>
          </cell>
          <cell r="AA90">
            <v>2558069</v>
          </cell>
          <cell r="AB90">
            <v>2648717</v>
          </cell>
        </row>
        <row r="91">
          <cell r="A91">
            <v>38236</v>
          </cell>
          <cell r="B91">
            <v>11066795.49</v>
          </cell>
          <cell r="C91">
            <v>714064</v>
          </cell>
          <cell r="D91">
            <v>-767568</v>
          </cell>
          <cell r="E91">
            <v>-798271</v>
          </cell>
          <cell r="H91">
            <v>0</v>
          </cell>
          <cell r="I91">
            <v>0</v>
          </cell>
          <cell r="X91">
            <v>135176</v>
          </cell>
          <cell r="Y91">
            <v>16590</v>
          </cell>
          <cell r="Z91">
            <v>17657</v>
          </cell>
          <cell r="AA91">
            <v>1346456</v>
          </cell>
          <cell r="AB91">
            <v>1444838</v>
          </cell>
        </row>
        <row r="92">
          <cell r="A92">
            <v>38267</v>
          </cell>
          <cell r="B92">
            <v>47027350.26</v>
          </cell>
          <cell r="C92">
            <v>4338022</v>
          </cell>
          <cell r="D92">
            <v>639326</v>
          </cell>
          <cell r="E92">
            <v>664899</v>
          </cell>
          <cell r="H92">
            <v>0</v>
          </cell>
          <cell r="I92">
            <v>0</v>
          </cell>
          <cell r="X92">
            <v>257294</v>
          </cell>
          <cell r="Y92">
            <v>141243</v>
          </cell>
          <cell r="Z92">
            <v>147274</v>
          </cell>
          <cell r="AA92">
            <v>3441402</v>
          </cell>
          <cell r="AB92">
            <v>3606788</v>
          </cell>
        </row>
        <row r="93">
          <cell r="A93">
            <v>38298</v>
          </cell>
          <cell r="B93">
            <v>84685845</v>
          </cell>
          <cell r="C93">
            <v>9280242</v>
          </cell>
          <cell r="D93">
            <v>2242329</v>
          </cell>
          <cell r="E93">
            <v>2332022</v>
          </cell>
          <cell r="H93">
            <v>171333</v>
          </cell>
          <cell r="I93">
            <v>171333</v>
          </cell>
          <cell r="X93">
            <v>471041</v>
          </cell>
          <cell r="Y93">
            <v>427839</v>
          </cell>
          <cell r="Z93">
            <v>445902</v>
          </cell>
          <cell r="AA93">
            <v>6395539</v>
          </cell>
          <cell r="AB93">
            <v>6669976</v>
          </cell>
        </row>
        <row r="94">
          <cell r="A94">
            <v>38329</v>
          </cell>
          <cell r="B94">
            <v>149629119</v>
          </cell>
          <cell r="C94">
            <v>17846448</v>
          </cell>
          <cell r="D94">
            <v>7207719</v>
          </cell>
          <cell r="E94">
            <v>7496028</v>
          </cell>
          <cell r="H94">
            <v>414528</v>
          </cell>
          <cell r="I94">
            <v>414528</v>
          </cell>
          <cell r="X94">
            <v>646118</v>
          </cell>
          <cell r="Y94">
            <v>604184</v>
          </cell>
          <cell r="Z94">
            <v>628170</v>
          </cell>
          <cell r="AA94">
            <v>9578083</v>
          </cell>
          <cell r="AB94">
            <v>9951844</v>
          </cell>
        </row>
        <row r="95">
          <cell r="A95">
            <v>38360</v>
          </cell>
          <cell r="B95">
            <v>137977573</v>
          </cell>
          <cell r="C95">
            <v>19866231</v>
          </cell>
          <cell r="D95">
            <v>13383664</v>
          </cell>
          <cell r="E95">
            <v>13919010</v>
          </cell>
          <cell r="H95">
            <v>616013</v>
          </cell>
          <cell r="I95">
            <v>616013</v>
          </cell>
          <cell r="X95">
            <v>492284</v>
          </cell>
          <cell r="Y95">
            <v>461225</v>
          </cell>
          <cell r="Z95">
            <v>478132</v>
          </cell>
          <cell r="AA95">
            <v>5374270</v>
          </cell>
          <cell r="AB95">
            <v>5554667</v>
          </cell>
        </row>
        <row r="96">
          <cell r="A96">
            <v>38391</v>
          </cell>
          <cell r="B96">
            <v>111293011</v>
          </cell>
          <cell r="C96">
            <v>13784843</v>
          </cell>
          <cell r="D96">
            <v>9946192</v>
          </cell>
          <cell r="E96">
            <v>10344040</v>
          </cell>
          <cell r="H96">
            <v>243633</v>
          </cell>
          <cell r="I96">
            <v>243633</v>
          </cell>
          <cell r="X96">
            <v>522995</v>
          </cell>
          <cell r="Y96">
            <v>491240</v>
          </cell>
          <cell r="Z96">
            <v>508630</v>
          </cell>
          <cell r="AA96">
            <v>3072023</v>
          </cell>
          <cell r="AB96">
            <v>3162425</v>
          </cell>
        </row>
        <row r="97">
          <cell r="A97">
            <v>38422</v>
          </cell>
          <cell r="B97">
            <v>129710796</v>
          </cell>
          <cell r="C97">
            <v>14356805</v>
          </cell>
          <cell r="D97">
            <v>12942289</v>
          </cell>
          <cell r="E97">
            <v>13459981</v>
          </cell>
          <cell r="H97">
            <v>409206</v>
          </cell>
          <cell r="I97">
            <v>409206</v>
          </cell>
          <cell r="X97">
            <v>267125</v>
          </cell>
          <cell r="Y97">
            <v>234280</v>
          </cell>
          <cell r="Z97">
            <v>242716</v>
          </cell>
          <cell r="AA97">
            <v>738185</v>
          </cell>
          <cell r="AB97">
            <v>744842</v>
          </cell>
        </row>
        <row r="98">
          <cell r="A98">
            <v>38453</v>
          </cell>
          <cell r="B98">
            <v>66977847</v>
          </cell>
          <cell r="C98">
            <v>5611707</v>
          </cell>
          <cell r="D98">
            <v>473214</v>
          </cell>
          <cell r="E98">
            <v>492142</v>
          </cell>
          <cell r="H98">
            <v>17822</v>
          </cell>
          <cell r="I98">
            <v>17822</v>
          </cell>
          <cell r="X98">
            <v>371536</v>
          </cell>
          <cell r="Y98">
            <v>376054</v>
          </cell>
          <cell r="Z98">
            <v>389328</v>
          </cell>
          <cell r="AA98">
            <v>4749135</v>
          </cell>
          <cell r="AB98">
            <v>4897917</v>
          </cell>
        </row>
        <row r="99">
          <cell r="A99">
            <v>38484</v>
          </cell>
          <cell r="B99">
            <v>37983682</v>
          </cell>
          <cell r="C99">
            <v>3689874</v>
          </cell>
          <cell r="D99">
            <v>336585</v>
          </cell>
          <cell r="E99">
            <v>350049</v>
          </cell>
          <cell r="H99">
            <v>20057</v>
          </cell>
          <cell r="I99">
            <v>20057</v>
          </cell>
          <cell r="X99">
            <v>338969</v>
          </cell>
          <cell r="Y99">
            <v>304694</v>
          </cell>
          <cell r="Z99">
            <v>315663</v>
          </cell>
          <cell r="AA99">
            <v>2994263</v>
          </cell>
          <cell r="AB99">
            <v>3075904</v>
          </cell>
        </row>
        <row r="100">
          <cell r="A100">
            <v>38515</v>
          </cell>
          <cell r="B100">
            <v>16725536</v>
          </cell>
          <cell r="C100">
            <v>1503253</v>
          </cell>
          <cell r="D100">
            <v>-31553</v>
          </cell>
          <cell r="E100">
            <v>-32815</v>
          </cell>
          <cell r="H100">
            <v>19071</v>
          </cell>
          <cell r="I100">
            <v>19071</v>
          </cell>
          <cell r="X100">
            <v>685179</v>
          </cell>
          <cell r="Y100">
            <v>649898</v>
          </cell>
          <cell r="Z100">
            <v>672085</v>
          </cell>
          <cell r="AA100">
            <v>830556</v>
          </cell>
          <cell r="AB100">
            <v>806649</v>
          </cell>
        </row>
        <row r="101">
          <cell r="A101">
            <v>38546</v>
          </cell>
          <cell r="B101">
            <v>24820624</v>
          </cell>
          <cell r="C101">
            <v>1650057</v>
          </cell>
          <cell r="D101">
            <v>1049</v>
          </cell>
          <cell r="E101">
            <v>1091</v>
          </cell>
          <cell r="H101">
            <v>19588</v>
          </cell>
          <cell r="I101">
            <v>19588</v>
          </cell>
          <cell r="X101">
            <v>256616</v>
          </cell>
          <cell r="Y101">
            <v>218578</v>
          </cell>
          <cell r="Z101">
            <v>227973</v>
          </cell>
          <cell r="AA101">
            <v>1372804</v>
          </cell>
          <cell r="AB101">
            <v>1418691</v>
          </cell>
        </row>
        <row r="102">
          <cell r="A102">
            <v>38577</v>
          </cell>
          <cell r="B102">
            <v>29043407</v>
          </cell>
          <cell r="C102">
            <v>1385696</v>
          </cell>
          <cell r="D102">
            <v>-16429</v>
          </cell>
          <cell r="E102">
            <v>-17086</v>
          </cell>
          <cell r="H102">
            <v>18266</v>
          </cell>
          <cell r="I102">
            <v>18266</v>
          </cell>
          <cell r="X102">
            <v>240508</v>
          </cell>
          <cell r="Y102">
            <v>211876</v>
          </cell>
          <cell r="Z102">
            <v>219058</v>
          </cell>
          <cell r="AA102">
            <v>1143351</v>
          </cell>
          <cell r="AB102">
            <v>1202766</v>
          </cell>
        </row>
        <row r="103">
          <cell r="A103">
            <v>38608</v>
          </cell>
          <cell r="B103">
            <v>50178006</v>
          </cell>
          <cell r="C103">
            <v>984327</v>
          </cell>
          <cell r="D103">
            <v>-1660</v>
          </cell>
          <cell r="E103">
            <v>-1726</v>
          </cell>
          <cell r="H103">
            <v>16889</v>
          </cell>
          <cell r="I103">
            <v>16889</v>
          </cell>
          <cell r="X103">
            <v>185377</v>
          </cell>
          <cell r="Y103">
            <v>146459</v>
          </cell>
          <cell r="Z103">
            <v>151884</v>
          </cell>
          <cell r="AA103">
            <v>783721</v>
          </cell>
          <cell r="AB103">
            <v>792295</v>
          </cell>
        </row>
        <row r="104">
          <cell r="A104">
            <v>38639</v>
          </cell>
          <cell r="B104">
            <v>100819963</v>
          </cell>
          <cell r="C104">
            <v>4744637</v>
          </cell>
          <cell r="D104">
            <v>89343</v>
          </cell>
          <cell r="E104">
            <v>92916</v>
          </cell>
          <cell r="H104">
            <v>14752</v>
          </cell>
          <cell r="I104">
            <v>14752</v>
          </cell>
          <cell r="X104">
            <v>314684</v>
          </cell>
          <cell r="Y104">
            <v>282865</v>
          </cell>
          <cell r="Z104">
            <v>292963</v>
          </cell>
          <cell r="AA104">
            <v>4325858</v>
          </cell>
          <cell r="AB104">
            <v>4474937</v>
          </cell>
        </row>
        <row r="105">
          <cell r="A105">
            <v>38670</v>
          </cell>
          <cell r="B105">
            <v>128461027</v>
          </cell>
          <cell r="C105">
            <v>10245136</v>
          </cell>
          <cell r="D105">
            <v>4357426</v>
          </cell>
          <cell r="E105">
            <v>4531723</v>
          </cell>
          <cell r="H105">
            <v>164039</v>
          </cell>
          <cell r="I105">
            <v>164039</v>
          </cell>
          <cell r="X105">
            <v>445378</v>
          </cell>
          <cell r="Y105">
            <v>415082</v>
          </cell>
          <cell r="Z105">
            <v>429560</v>
          </cell>
          <cell r="AA105">
            <v>5278293</v>
          </cell>
          <cell r="AB105">
            <v>5459765.2599</v>
          </cell>
        </row>
        <row r="106">
          <cell r="A106">
            <v>38701</v>
          </cell>
          <cell r="B106">
            <v>225606603</v>
          </cell>
          <cell r="C106">
            <v>20106735</v>
          </cell>
          <cell r="D106">
            <v>10715917</v>
          </cell>
          <cell r="E106">
            <v>11144553</v>
          </cell>
          <cell r="H106">
            <v>370613</v>
          </cell>
          <cell r="I106">
            <v>370613</v>
          </cell>
          <cell r="X106">
            <v>682403</v>
          </cell>
          <cell r="Y106">
            <v>649222</v>
          </cell>
          <cell r="Z106">
            <v>675063</v>
          </cell>
          <cell r="AA106">
            <v>8337802</v>
          </cell>
          <cell r="AB106">
            <v>6737341.989799999</v>
          </cell>
        </row>
        <row r="107">
          <cell r="A107">
            <v>38732</v>
          </cell>
          <cell r="B107">
            <v>151381606</v>
          </cell>
          <cell r="C107">
            <v>11290195</v>
          </cell>
          <cell r="D107">
            <v>2781470</v>
          </cell>
          <cell r="E107">
            <v>2892729</v>
          </cell>
          <cell r="H107">
            <v>248598</v>
          </cell>
          <cell r="I107">
            <v>248598</v>
          </cell>
          <cell r="X107">
            <v>819126</v>
          </cell>
          <cell r="Y107">
            <v>794515</v>
          </cell>
          <cell r="Z107">
            <v>825740</v>
          </cell>
          <cell r="AA107">
            <v>7441001</v>
          </cell>
          <cell r="AB107">
            <v>17035268.4898</v>
          </cell>
        </row>
        <row r="108">
          <cell r="A108">
            <v>38763</v>
          </cell>
          <cell r="B108">
            <v>128935588</v>
          </cell>
          <cell r="C108">
            <v>14019648</v>
          </cell>
          <cell r="D108">
            <v>8351131</v>
          </cell>
          <cell r="E108">
            <v>8685176</v>
          </cell>
          <cell r="H108">
            <v>171640</v>
          </cell>
          <cell r="I108">
            <v>171640</v>
          </cell>
          <cell r="X108">
            <v>576148</v>
          </cell>
          <cell r="Y108">
            <v>539618</v>
          </cell>
          <cell r="Z108">
            <v>558180</v>
          </cell>
          <cell r="AA108">
            <v>4920729.1</v>
          </cell>
          <cell r="AB108">
            <v>5087757</v>
          </cell>
        </row>
        <row r="109">
          <cell r="A109">
            <v>38794</v>
          </cell>
          <cell r="B109">
            <v>112048445</v>
          </cell>
          <cell r="C109">
            <v>10923223</v>
          </cell>
          <cell r="D109">
            <v>5004506</v>
          </cell>
          <cell r="E109">
            <v>5204686</v>
          </cell>
          <cell r="H109">
            <v>55714</v>
          </cell>
          <cell r="I109">
            <v>55714</v>
          </cell>
          <cell r="X109">
            <v>577414</v>
          </cell>
          <cell r="Y109">
            <v>549578</v>
          </cell>
          <cell r="Z109">
            <v>568099</v>
          </cell>
          <cell r="AA109">
            <v>5285589</v>
          </cell>
          <cell r="AB109">
            <v>5314919</v>
          </cell>
        </row>
        <row r="110">
          <cell r="A110">
            <v>38825</v>
          </cell>
          <cell r="B110">
            <v>39141128</v>
          </cell>
          <cell r="C110">
            <v>4116228</v>
          </cell>
          <cell r="D110">
            <v>1184140</v>
          </cell>
          <cell r="E110">
            <v>1231505</v>
          </cell>
          <cell r="H110">
            <v>1473</v>
          </cell>
          <cell r="I110">
            <v>1473</v>
          </cell>
          <cell r="X110">
            <v>369579</v>
          </cell>
          <cell r="Y110">
            <v>344007</v>
          </cell>
          <cell r="Z110">
            <v>355015</v>
          </cell>
          <cell r="AA110">
            <v>2561036</v>
          </cell>
          <cell r="AB110">
            <v>2630264</v>
          </cell>
        </row>
        <row r="111">
          <cell r="A111">
            <v>38856</v>
          </cell>
          <cell r="B111">
            <v>25262733.29000002</v>
          </cell>
          <cell r="C111">
            <v>2108443</v>
          </cell>
          <cell r="D111">
            <v>454590</v>
          </cell>
          <cell r="E111">
            <v>472773</v>
          </cell>
          <cell r="H111">
            <v>0</v>
          </cell>
          <cell r="I111">
            <v>0</v>
          </cell>
          <cell r="X111">
            <v>23952</v>
          </cell>
          <cell r="Y111">
            <v>-8164</v>
          </cell>
          <cell r="Z111">
            <v>-8424</v>
          </cell>
          <cell r="AA111">
            <v>1629901</v>
          </cell>
          <cell r="AB111">
            <v>1677877</v>
          </cell>
        </row>
        <row r="112">
          <cell r="A112">
            <v>38887</v>
          </cell>
          <cell r="B112">
            <v>8737650.54</v>
          </cell>
          <cell r="C112">
            <v>1355443</v>
          </cell>
          <cell r="D112">
            <v>487731</v>
          </cell>
          <cell r="E112">
            <v>507240</v>
          </cell>
          <cell r="H112">
            <v>0</v>
          </cell>
          <cell r="I112">
            <v>0</v>
          </cell>
          <cell r="X112">
            <v>268271</v>
          </cell>
          <cell r="Y112">
            <v>231850</v>
          </cell>
          <cell r="Z112">
            <v>239131</v>
          </cell>
          <cell r="AA112">
            <v>599441</v>
          </cell>
          <cell r="AB112">
            <v>620964.6760000009</v>
          </cell>
        </row>
        <row r="113">
          <cell r="A113">
            <v>38918</v>
          </cell>
          <cell r="B113">
            <v>-6340235.340000017</v>
          </cell>
          <cell r="C113">
            <v>424432</v>
          </cell>
          <cell r="D113">
            <v>-170334</v>
          </cell>
          <cell r="E113">
            <v>-177147</v>
          </cell>
          <cell r="H113">
            <v>0</v>
          </cell>
          <cell r="I113">
            <v>0</v>
          </cell>
          <cell r="X113">
            <v>277482</v>
          </cell>
          <cell r="Y113">
            <v>239891</v>
          </cell>
          <cell r="Z113">
            <v>248671</v>
          </cell>
          <cell r="AA113">
            <v>317284</v>
          </cell>
          <cell r="AB113">
            <v>312715.5795999989</v>
          </cell>
        </row>
        <row r="114">
          <cell r="A114">
            <v>38949</v>
          </cell>
          <cell r="B114">
            <v>24762576.99</v>
          </cell>
          <cell r="C114">
            <v>2748309</v>
          </cell>
          <cell r="D114">
            <v>504762</v>
          </cell>
          <cell r="E114">
            <v>524952</v>
          </cell>
          <cell r="H114">
            <v>0</v>
          </cell>
          <cell r="I114">
            <v>0</v>
          </cell>
          <cell r="X114">
            <v>363657</v>
          </cell>
          <cell r="Y114">
            <v>338384</v>
          </cell>
          <cell r="Z114">
            <v>350939</v>
          </cell>
          <cell r="AA114">
            <v>1879890</v>
          </cell>
          <cell r="AB114">
            <v>2016854.2894000001</v>
          </cell>
        </row>
        <row r="115">
          <cell r="A115">
            <v>38980</v>
          </cell>
          <cell r="B115">
            <v>12376735.61</v>
          </cell>
          <cell r="C115">
            <v>1380606</v>
          </cell>
          <cell r="D115">
            <v>-460835</v>
          </cell>
          <cell r="E115">
            <v>-479268</v>
          </cell>
          <cell r="H115">
            <v>0</v>
          </cell>
          <cell r="I115">
            <v>0</v>
          </cell>
          <cell r="X115">
            <v>119448</v>
          </cell>
          <cell r="Y115">
            <v>86201</v>
          </cell>
          <cell r="Z115">
            <v>89390</v>
          </cell>
          <cell r="AA115">
            <v>1721993</v>
          </cell>
          <cell r="AB115">
            <v>1769650.0410000011</v>
          </cell>
        </row>
        <row r="116">
          <cell r="A116">
            <v>39011</v>
          </cell>
          <cell r="B116">
            <v>56693662.13</v>
          </cell>
          <cell r="C116">
            <v>7431218</v>
          </cell>
          <cell r="D116">
            <v>1659022</v>
          </cell>
          <cell r="E116">
            <v>1725383</v>
          </cell>
          <cell r="H116">
            <v>0</v>
          </cell>
          <cell r="I116">
            <v>0</v>
          </cell>
          <cell r="X116">
            <v>356070</v>
          </cell>
          <cell r="Y116">
            <v>323192</v>
          </cell>
          <cell r="Z116">
            <v>334407</v>
          </cell>
          <cell r="AA116">
            <v>5416126</v>
          </cell>
          <cell r="AB116">
            <v>5601802</v>
          </cell>
        </row>
        <row r="117">
          <cell r="A117">
            <v>39042</v>
          </cell>
          <cell r="B117">
            <v>99552821.8</v>
          </cell>
          <cell r="C117">
            <v>10108405</v>
          </cell>
          <cell r="D117">
            <v>4883490</v>
          </cell>
          <cell r="E117">
            <v>5078830</v>
          </cell>
          <cell r="H117">
            <v>24640</v>
          </cell>
          <cell r="I117">
            <v>24640</v>
          </cell>
          <cell r="X117">
            <v>685568</v>
          </cell>
          <cell r="Y117">
            <v>648721</v>
          </cell>
          <cell r="Z117">
            <v>675253</v>
          </cell>
          <cell r="AA117">
            <v>4514707</v>
          </cell>
          <cell r="AB117">
            <v>4699937</v>
          </cell>
        </row>
        <row r="118">
          <cell r="A118">
            <v>39073</v>
          </cell>
          <cell r="B118">
            <v>120181114.31</v>
          </cell>
          <cell r="C118">
            <v>11603034</v>
          </cell>
          <cell r="D118">
            <v>4357073</v>
          </cell>
          <cell r="E118">
            <v>4531356</v>
          </cell>
          <cell r="H118">
            <v>13940</v>
          </cell>
          <cell r="I118">
            <v>13940</v>
          </cell>
          <cell r="X118">
            <v>705740</v>
          </cell>
          <cell r="Y118">
            <v>672307</v>
          </cell>
          <cell r="Z118">
            <v>697115</v>
          </cell>
          <cell r="AA118">
            <v>6526281</v>
          </cell>
          <cell r="AB118">
            <v>6765611</v>
          </cell>
        </row>
        <row r="119">
          <cell r="A119">
            <v>39104</v>
          </cell>
          <cell r="B119">
            <v>143822834.64</v>
          </cell>
          <cell r="C119">
            <v>16709945</v>
          </cell>
          <cell r="D119">
            <v>20206690</v>
          </cell>
          <cell r="E119">
            <v>21014958</v>
          </cell>
          <cell r="H119">
            <v>232260</v>
          </cell>
          <cell r="I119">
            <v>232260</v>
          </cell>
          <cell r="X119">
            <v>713910</v>
          </cell>
          <cell r="Y119">
            <v>688588</v>
          </cell>
          <cell r="Z119">
            <v>713791</v>
          </cell>
          <cell r="AA119">
            <v>-4442915</v>
          </cell>
          <cell r="AB119">
            <v>-4605157</v>
          </cell>
        </row>
        <row r="120">
          <cell r="A120">
            <v>39135</v>
          </cell>
          <cell r="B120">
            <v>223520929.89</v>
          </cell>
          <cell r="C120">
            <v>20972013</v>
          </cell>
          <cell r="D120">
            <v>15765092</v>
          </cell>
          <cell r="E120">
            <v>16395695</v>
          </cell>
          <cell r="H120">
            <v>735911</v>
          </cell>
          <cell r="I120">
            <v>735911</v>
          </cell>
          <cell r="X120">
            <v>697332</v>
          </cell>
          <cell r="Y120">
            <v>665175</v>
          </cell>
          <cell r="Z120">
            <v>690319</v>
          </cell>
          <cell r="AA120">
            <v>3773678</v>
          </cell>
          <cell r="AB120">
            <v>3916484</v>
          </cell>
        </row>
        <row r="121">
          <cell r="A121">
            <v>39166</v>
          </cell>
          <cell r="B121">
            <v>79635216.34</v>
          </cell>
          <cell r="C121">
            <v>8801607</v>
          </cell>
          <cell r="D121">
            <v>5479161</v>
          </cell>
          <cell r="E121">
            <v>5698328</v>
          </cell>
          <cell r="H121">
            <v>8095</v>
          </cell>
          <cell r="I121">
            <v>8095</v>
          </cell>
          <cell r="X121">
            <v>608468</v>
          </cell>
          <cell r="Y121">
            <v>583640</v>
          </cell>
          <cell r="Z121">
            <v>603718</v>
          </cell>
          <cell r="AA121">
            <v>2705883</v>
          </cell>
          <cell r="AB121">
            <v>2764332</v>
          </cell>
        </row>
        <row r="122">
          <cell r="A122">
            <v>39197</v>
          </cell>
          <cell r="B122">
            <v>78584767.32</v>
          </cell>
          <cell r="C122">
            <v>7118322</v>
          </cell>
          <cell r="D122">
            <v>1421520</v>
          </cell>
          <cell r="E122">
            <v>1478381</v>
          </cell>
          <cell r="H122">
            <v>1828</v>
          </cell>
          <cell r="I122">
            <v>1828</v>
          </cell>
          <cell r="X122">
            <v>405311</v>
          </cell>
          <cell r="Y122">
            <v>379991</v>
          </cell>
          <cell r="Z122">
            <v>393708</v>
          </cell>
          <cell r="AA122">
            <v>5289663</v>
          </cell>
          <cell r="AB122">
            <v>5463618</v>
          </cell>
        </row>
        <row r="123">
          <cell r="A123">
            <v>39228</v>
          </cell>
          <cell r="B123">
            <v>10527268.66</v>
          </cell>
          <cell r="C123">
            <v>1089882</v>
          </cell>
          <cell r="D123">
            <v>-81286</v>
          </cell>
          <cell r="E123">
            <v>-84538</v>
          </cell>
          <cell r="H123">
            <v>0</v>
          </cell>
          <cell r="I123">
            <v>0</v>
          </cell>
          <cell r="X123">
            <v>184883</v>
          </cell>
          <cell r="Y123">
            <v>148560</v>
          </cell>
          <cell r="Z123">
            <v>153700</v>
          </cell>
          <cell r="AA123">
            <v>986285</v>
          </cell>
          <cell r="AB123">
            <v>984161</v>
          </cell>
        </row>
        <row r="124">
          <cell r="A124">
            <v>39259</v>
          </cell>
          <cell r="B124">
            <v>12003254.84</v>
          </cell>
          <cell r="C124">
            <v>688394</v>
          </cell>
          <cell r="D124">
            <v>-82788</v>
          </cell>
          <cell r="E124">
            <v>-86099</v>
          </cell>
          <cell r="H124">
            <v>0</v>
          </cell>
          <cell r="I124">
            <v>0</v>
          </cell>
          <cell r="X124">
            <v>282497</v>
          </cell>
          <cell r="Y124">
            <v>249230</v>
          </cell>
          <cell r="Z124">
            <v>257629</v>
          </cell>
          <cell r="AA124">
            <v>488685</v>
          </cell>
          <cell r="AB124">
            <v>305193</v>
          </cell>
        </row>
        <row r="125">
          <cell r="A125">
            <v>39290</v>
          </cell>
          <cell r="B125">
            <v>-1242265.7</v>
          </cell>
          <cell r="C125">
            <v>731734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X125">
            <v>276152</v>
          </cell>
          <cell r="Y125">
            <v>242229</v>
          </cell>
          <cell r="Z125">
            <v>251555</v>
          </cell>
          <cell r="AA125">
            <v>455582</v>
          </cell>
          <cell r="AB125">
            <v>462597</v>
          </cell>
        </row>
        <row r="126">
          <cell r="A126">
            <v>39321</v>
          </cell>
          <cell r="B126">
            <v>-13767257</v>
          </cell>
          <cell r="C126">
            <v>-1691033</v>
          </cell>
          <cell r="D126">
            <v>7512</v>
          </cell>
          <cell r="E126">
            <v>7812</v>
          </cell>
          <cell r="H126">
            <v>0</v>
          </cell>
          <cell r="I126">
            <v>0</v>
          </cell>
          <cell r="X126">
            <v>272950</v>
          </cell>
          <cell r="Y126">
            <v>244959</v>
          </cell>
          <cell r="Z126">
            <v>254390</v>
          </cell>
          <cell r="AA126">
            <v>-1971495</v>
          </cell>
          <cell r="AB126">
            <v>-2051057</v>
          </cell>
        </row>
        <row r="127">
          <cell r="A127">
            <v>39352</v>
          </cell>
          <cell r="B127">
            <v>3690339.94</v>
          </cell>
          <cell r="C127">
            <v>1313592</v>
          </cell>
          <cell r="D127">
            <v>20</v>
          </cell>
          <cell r="E127">
            <v>21</v>
          </cell>
          <cell r="H127">
            <v>0</v>
          </cell>
          <cell r="I127">
            <v>0</v>
          </cell>
          <cell r="X127">
            <v>297406</v>
          </cell>
          <cell r="Y127">
            <v>258479</v>
          </cell>
          <cell r="Z127">
            <v>268999</v>
          </cell>
          <cell r="AA127">
            <v>1016166</v>
          </cell>
          <cell r="AB127">
            <v>1065667</v>
          </cell>
        </row>
        <row r="128">
          <cell r="A128">
            <v>39383</v>
          </cell>
          <cell r="B128">
            <v>33333161.53</v>
          </cell>
          <cell r="C128">
            <v>3442067</v>
          </cell>
          <cell r="D128">
            <v>550605</v>
          </cell>
          <cell r="E128">
            <v>572629</v>
          </cell>
          <cell r="H128">
            <v>0</v>
          </cell>
          <cell r="I128">
            <v>0</v>
          </cell>
          <cell r="X128">
            <v>371528</v>
          </cell>
          <cell r="Y128">
            <v>345189</v>
          </cell>
          <cell r="Z128">
            <v>358307</v>
          </cell>
          <cell r="AA128">
            <v>2519934</v>
          </cell>
          <cell r="AB128">
            <v>2615321</v>
          </cell>
        </row>
        <row r="129">
          <cell r="A129">
            <v>39414</v>
          </cell>
          <cell r="B129">
            <v>95041524.02</v>
          </cell>
          <cell r="C129">
            <v>10175645</v>
          </cell>
          <cell r="D129">
            <v>3941358</v>
          </cell>
          <cell r="E129">
            <v>4099012</v>
          </cell>
          <cell r="H129">
            <v>34996</v>
          </cell>
          <cell r="I129">
            <v>34996</v>
          </cell>
          <cell r="X129">
            <v>502082</v>
          </cell>
          <cell r="Y129">
            <v>466483</v>
          </cell>
          <cell r="Z129">
            <v>483183</v>
          </cell>
          <cell r="AA129">
            <v>5697209</v>
          </cell>
          <cell r="AB129">
            <v>5892629</v>
          </cell>
        </row>
        <row r="130">
          <cell r="A130">
            <v>39445</v>
          </cell>
          <cell r="B130">
            <v>132771016.08</v>
          </cell>
          <cell r="C130">
            <v>16166305</v>
          </cell>
          <cell r="D130">
            <v>11339809</v>
          </cell>
          <cell r="E130">
            <v>11793402</v>
          </cell>
          <cell r="H130">
            <v>318931</v>
          </cell>
          <cell r="I130">
            <v>318931</v>
          </cell>
          <cell r="X130">
            <v>676096</v>
          </cell>
          <cell r="Y130">
            <v>648181</v>
          </cell>
          <cell r="Z130">
            <v>669766</v>
          </cell>
          <cell r="AA130">
            <v>3831469</v>
          </cell>
          <cell r="AB130">
            <v>3960004</v>
          </cell>
        </row>
        <row r="131">
          <cell r="A131">
            <v>39476</v>
          </cell>
          <cell r="B131">
            <v>174778978.89</v>
          </cell>
          <cell r="C131">
            <v>19065273</v>
          </cell>
          <cell r="D131">
            <v>15284971</v>
          </cell>
          <cell r="E131">
            <v>15896370</v>
          </cell>
          <cell r="H131">
            <v>645977</v>
          </cell>
          <cell r="I131">
            <v>645977</v>
          </cell>
          <cell r="X131">
            <v>715195</v>
          </cell>
          <cell r="Y131">
            <v>689958</v>
          </cell>
          <cell r="Z131">
            <v>714797</v>
          </cell>
          <cell r="AA131">
            <v>2419130</v>
          </cell>
          <cell r="AB131">
            <v>2506293</v>
          </cell>
        </row>
        <row r="132">
          <cell r="A132">
            <v>39504</v>
          </cell>
          <cell r="B132">
            <v>171483951.96</v>
          </cell>
          <cell r="C132">
            <v>15226412</v>
          </cell>
          <cell r="D132">
            <v>12883962</v>
          </cell>
          <cell r="E132">
            <v>13399320</v>
          </cell>
          <cell r="H132">
            <v>653259</v>
          </cell>
          <cell r="I132">
            <v>653259</v>
          </cell>
          <cell r="X132">
            <v>701089</v>
          </cell>
          <cell r="Y132">
            <v>670682</v>
          </cell>
          <cell r="Z132">
            <v>694558</v>
          </cell>
          <cell r="AA132">
            <v>988102</v>
          </cell>
          <cell r="AB132">
            <v>1022735</v>
          </cell>
        </row>
        <row r="133">
          <cell r="A133">
            <v>39535</v>
          </cell>
          <cell r="B133">
            <v>166447555.55</v>
          </cell>
          <cell r="C133">
            <v>12057444</v>
          </cell>
          <cell r="D133">
            <v>6955669</v>
          </cell>
          <cell r="E133">
            <v>7233896</v>
          </cell>
          <cell r="H133">
            <v>75871</v>
          </cell>
          <cell r="I133">
            <v>75871</v>
          </cell>
          <cell r="X133">
            <v>571090</v>
          </cell>
          <cell r="Y133">
            <v>548442</v>
          </cell>
          <cell r="Z133">
            <v>566649</v>
          </cell>
          <cell r="AA133">
            <v>4454814</v>
          </cell>
          <cell r="AB133">
            <v>4560309</v>
          </cell>
        </row>
        <row r="134">
          <cell r="A134">
            <v>39565</v>
          </cell>
          <cell r="B134">
            <v>46734952.07</v>
          </cell>
          <cell r="C134">
            <v>3392886</v>
          </cell>
          <cell r="D134">
            <v>438819</v>
          </cell>
          <cell r="E134">
            <v>456371</v>
          </cell>
          <cell r="H134">
            <v>394</v>
          </cell>
          <cell r="I134">
            <v>394</v>
          </cell>
          <cell r="X134">
            <v>376281</v>
          </cell>
          <cell r="Y134">
            <v>350479</v>
          </cell>
          <cell r="Z134">
            <v>362150</v>
          </cell>
          <cell r="AA134">
            <v>2577392</v>
          </cell>
          <cell r="AB134">
            <v>2630678</v>
          </cell>
        </row>
        <row r="135">
          <cell r="A135">
            <v>39595</v>
          </cell>
          <cell r="B135">
            <v>73116231.7</v>
          </cell>
          <cell r="C135">
            <v>1711329</v>
          </cell>
          <cell r="D135">
            <v>35917</v>
          </cell>
          <cell r="E135">
            <v>37354</v>
          </cell>
          <cell r="H135">
            <v>0</v>
          </cell>
          <cell r="I135">
            <v>0</v>
          </cell>
          <cell r="X135">
            <v>335567</v>
          </cell>
          <cell r="Y135">
            <v>304078</v>
          </cell>
          <cell r="Z135">
            <v>314630</v>
          </cell>
          <cell r="AA135">
            <v>1339845</v>
          </cell>
          <cell r="AB135">
            <v>1397560</v>
          </cell>
        </row>
        <row r="136">
          <cell r="A136">
            <v>39625</v>
          </cell>
          <cell r="B136">
            <v>51009539.12</v>
          </cell>
          <cell r="C136">
            <v>1597198</v>
          </cell>
          <cell r="D136">
            <v>-62997</v>
          </cell>
          <cell r="E136">
            <v>-65517</v>
          </cell>
          <cell r="H136">
            <v>0</v>
          </cell>
          <cell r="I136">
            <v>0</v>
          </cell>
          <cell r="X136">
            <v>263923</v>
          </cell>
          <cell r="Y136">
            <v>229285</v>
          </cell>
          <cell r="Z136">
            <v>237425</v>
          </cell>
          <cell r="AA136">
            <v>1396272</v>
          </cell>
          <cell r="AB136">
            <v>1419581</v>
          </cell>
        </row>
        <row r="137">
          <cell r="A137">
            <v>39655</v>
          </cell>
          <cell r="B137">
            <v>42936555.84</v>
          </cell>
          <cell r="C137">
            <v>1342027</v>
          </cell>
          <cell r="D137">
            <v>269743</v>
          </cell>
          <cell r="E137">
            <v>280533</v>
          </cell>
          <cell r="H137">
            <v>0</v>
          </cell>
          <cell r="I137">
            <v>0</v>
          </cell>
          <cell r="X137">
            <v>255967</v>
          </cell>
          <cell r="Y137">
            <v>226298</v>
          </cell>
          <cell r="Z137">
            <v>235418</v>
          </cell>
          <cell r="AA137">
            <v>816317</v>
          </cell>
          <cell r="AB137">
            <v>857963</v>
          </cell>
        </row>
        <row r="138">
          <cell r="A138">
            <v>39685</v>
          </cell>
          <cell r="B138">
            <v>-2703854.96</v>
          </cell>
          <cell r="C138">
            <v>73203</v>
          </cell>
          <cell r="D138">
            <v>3649</v>
          </cell>
          <cell r="E138">
            <v>3795</v>
          </cell>
          <cell r="H138">
            <v>0</v>
          </cell>
          <cell r="I138">
            <v>0</v>
          </cell>
          <cell r="X138">
            <v>255259</v>
          </cell>
          <cell r="Y138">
            <v>226586</v>
          </cell>
          <cell r="Z138">
            <v>235514</v>
          </cell>
          <cell r="AA138">
            <v>-185705</v>
          </cell>
          <cell r="AB138">
            <v>-191973</v>
          </cell>
        </row>
        <row r="139">
          <cell r="A139">
            <v>39715</v>
          </cell>
          <cell r="B139">
            <v>5108496.68</v>
          </cell>
          <cell r="C139">
            <v>296891</v>
          </cell>
          <cell r="D139">
            <v>-252009</v>
          </cell>
          <cell r="E139">
            <v>-262089</v>
          </cell>
          <cell r="H139">
            <v>0</v>
          </cell>
          <cell r="I139">
            <v>0</v>
          </cell>
          <cell r="X139">
            <v>267290</v>
          </cell>
          <cell r="Y139">
            <v>236405</v>
          </cell>
          <cell r="Z139">
            <v>244916</v>
          </cell>
          <cell r="AA139">
            <v>281610</v>
          </cell>
          <cell r="AB139">
            <v>278945</v>
          </cell>
        </row>
        <row r="140">
          <cell r="A140">
            <v>39745</v>
          </cell>
          <cell r="B140">
            <v>42591414.73</v>
          </cell>
          <cell r="C140">
            <v>4832639</v>
          </cell>
          <cell r="D140">
            <v>1666852</v>
          </cell>
          <cell r="E140">
            <v>1733526</v>
          </cell>
          <cell r="H140">
            <v>0</v>
          </cell>
          <cell r="I140">
            <v>0</v>
          </cell>
          <cell r="X140">
            <v>335661</v>
          </cell>
          <cell r="Y140">
            <v>308415</v>
          </cell>
          <cell r="Z140">
            <v>319518</v>
          </cell>
          <cell r="AA140">
            <v>2830126</v>
          </cell>
          <cell r="AB140">
            <v>2924099</v>
          </cell>
        </row>
        <row r="141">
          <cell r="A141">
            <v>39775</v>
          </cell>
          <cell r="B141">
            <v>105281313.91</v>
          </cell>
          <cell r="C141">
            <v>11724803</v>
          </cell>
          <cell r="D141">
            <v>1715822</v>
          </cell>
          <cell r="E141">
            <v>1784455</v>
          </cell>
          <cell r="H141">
            <v>31122</v>
          </cell>
          <cell r="I141">
            <v>31122</v>
          </cell>
          <cell r="X141">
            <v>466313</v>
          </cell>
          <cell r="Y141">
            <v>441378</v>
          </cell>
          <cell r="Z141">
            <v>458283</v>
          </cell>
          <cell r="AA141">
            <v>9511546</v>
          </cell>
          <cell r="AB141">
            <v>9874801</v>
          </cell>
        </row>
        <row r="142">
          <cell r="A142">
            <v>39805</v>
          </cell>
          <cell r="B142">
            <v>145152850.77</v>
          </cell>
          <cell r="C142">
            <v>15689797</v>
          </cell>
          <cell r="D142">
            <v>9686491</v>
          </cell>
          <cell r="E142">
            <v>10073951</v>
          </cell>
          <cell r="H142">
            <v>340927</v>
          </cell>
          <cell r="I142">
            <v>340927</v>
          </cell>
          <cell r="X142">
            <v>626707</v>
          </cell>
          <cell r="Y142">
            <v>604681</v>
          </cell>
          <cell r="Z142">
            <v>627478</v>
          </cell>
          <cell r="AA142">
            <v>5035672</v>
          </cell>
          <cell r="AB142">
            <v>5225923</v>
          </cell>
        </row>
        <row r="143">
          <cell r="A143">
            <v>39835</v>
          </cell>
          <cell r="B143">
            <v>150198894.83</v>
          </cell>
          <cell r="C143">
            <v>20590673</v>
          </cell>
          <cell r="D143">
            <v>17473076</v>
          </cell>
          <cell r="E143">
            <v>18171999</v>
          </cell>
          <cell r="H143">
            <v>455354</v>
          </cell>
          <cell r="I143">
            <v>455354</v>
          </cell>
          <cell r="X143">
            <v>656929</v>
          </cell>
          <cell r="Y143">
            <v>635746</v>
          </cell>
          <cell r="Z143">
            <v>660477</v>
          </cell>
          <cell r="AA143">
            <v>2005314</v>
          </cell>
          <cell r="AB143">
            <v>2083624</v>
          </cell>
        </row>
        <row r="144">
          <cell r="D144" t="str">
            <v>ACTUAL INJECTION VOLUMES</v>
          </cell>
          <cell r="J144" t="str">
            <v>ACTUAL INJECTION VOLUMES</v>
          </cell>
          <cell r="P144" t="str">
            <v>ACTUAL INJECTION VOLUMES</v>
          </cell>
          <cell r="V144" t="str">
            <v>ACTUAL INJECTION VOLUMES</v>
          </cell>
        </row>
        <row r="145">
          <cell r="D145" t="str">
            <v>TCO</v>
          </cell>
          <cell r="F145" t="str">
            <v>CGT</v>
          </cell>
          <cell r="H145" t="str">
            <v>PEPL</v>
          </cell>
          <cell r="J145" t="str">
            <v>ANR</v>
          </cell>
          <cell r="L145" t="str">
            <v>CNG</v>
          </cell>
          <cell r="N145" t="str">
            <v>TENN</v>
          </cell>
          <cell r="P145" t="str">
            <v>TETCO</v>
          </cell>
          <cell r="R145" t="str">
            <v>CARNEGIE</v>
          </cell>
          <cell r="T145" t="str">
            <v>FIRM</v>
          </cell>
          <cell r="V145" t="str">
            <v>COVE (CVP)</v>
          </cell>
          <cell r="X145" t="str">
            <v>LOCAL</v>
          </cell>
          <cell r="AA145" t="str">
            <v>NON-LOCAL</v>
          </cell>
        </row>
      </sheetData>
      <sheetData sheetId="29">
        <row r="6">
          <cell r="A6">
            <v>36428</v>
          </cell>
        </row>
        <row r="7">
          <cell r="A7">
            <v>36458</v>
          </cell>
          <cell r="B7">
            <v>-33984407</v>
          </cell>
          <cell r="C7">
            <v>-460903</v>
          </cell>
          <cell r="D7">
            <v>-412113</v>
          </cell>
          <cell r="E7">
            <v>-8439460</v>
          </cell>
          <cell r="F7">
            <v>-10193841</v>
          </cell>
          <cell r="G7">
            <v>-1312578</v>
          </cell>
          <cell r="H7">
            <v>-8737132</v>
          </cell>
          <cell r="J7">
            <v>-33984407</v>
          </cell>
          <cell r="K7">
            <v>-460903</v>
          </cell>
          <cell r="L7">
            <v>-412113</v>
          </cell>
          <cell r="M7">
            <v>-8439460</v>
          </cell>
          <cell r="N7">
            <v>-10193841</v>
          </cell>
          <cell r="O7">
            <v>-1312578</v>
          </cell>
          <cell r="P7">
            <v>-8737132</v>
          </cell>
          <cell r="R7">
            <v>109545</v>
          </cell>
        </row>
        <row r="8">
          <cell r="A8">
            <v>36488</v>
          </cell>
          <cell r="B8">
            <v>-34000431</v>
          </cell>
          <cell r="C8">
            <v>-460903</v>
          </cell>
          <cell r="D8">
            <v>-415656</v>
          </cell>
          <cell r="E8">
            <v>-8471110</v>
          </cell>
          <cell r="F8">
            <v>-10193841</v>
          </cell>
          <cell r="G8">
            <v>-1312578</v>
          </cell>
          <cell r="H8">
            <v>-8860319</v>
          </cell>
          <cell r="J8">
            <v>-16024</v>
          </cell>
          <cell r="K8">
            <v>0</v>
          </cell>
          <cell r="L8">
            <v>-3543</v>
          </cell>
          <cell r="M8">
            <v>-31650</v>
          </cell>
          <cell r="N8">
            <v>0</v>
          </cell>
          <cell r="O8">
            <v>0</v>
          </cell>
          <cell r="P8">
            <v>-123187</v>
          </cell>
          <cell r="R8">
            <v>133052</v>
          </cell>
        </row>
        <row r="9">
          <cell r="A9">
            <v>36518</v>
          </cell>
          <cell r="B9">
            <v>-34030482</v>
          </cell>
          <cell r="C9">
            <v>-460903</v>
          </cell>
          <cell r="D9">
            <v>-420831</v>
          </cell>
          <cell r="E9">
            <v>-8502733</v>
          </cell>
          <cell r="F9">
            <v>-10193841</v>
          </cell>
          <cell r="G9">
            <v>-1312578</v>
          </cell>
          <cell r="H9">
            <v>-9031914</v>
          </cell>
          <cell r="J9">
            <v>-30051</v>
          </cell>
          <cell r="K9">
            <v>0</v>
          </cell>
          <cell r="L9">
            <v>-5175</v>
          </cell>
          <cell r="M9">
            <v>-31623</v>
          </cell>
          <cell r="N9">
            <v>0</v>
          </cell>
          <cell r="O9">
            <v>0</v>
          </cell>
          <cell r="P9">
            <v>-171595</v>
          </cell>
          <cell r="R9">
            <v>213848</v>
          </cell>
        </row>
        <row r="10">
          <cell r="A10">
            <v>36548</v>
          </cell>
          <cell r="B10">
            <v>-34079607</v>
          </cell>
          <cell r="C10">
            <v>-460903</v>
          </cell>
          <cell r="D10">
            <v>-362155</v>
          </cell>
          <cell r="E10">
            <v>-8534355</v>
          </cell>
          <cell r="F10">
            <v>-10193841</v>
          </cell>
          <cell r="G10">
            <v>-1312578</v>
          </cell>
          <cell r="H10">
            <v>-9252002</v>
          </cell>
          <cell r="J10">
            <v>-49125</v>
          </cell>
          <cell r="K10">
            <v>0</v>
          </cell>
          <cell r="L10">
            <v>58676</v>
          </cell>
          <cell r="M10">
            <v>-31622</v>
          </cell>
          <cell r="N10">
            <v>0</v>
          </cell>
          <cell r="O10">
            <v>0</v>
          </cell>
          <cell r="P10">
            <v>-220088</v>
          </cell>
          <cell r="R10">
            <v>310854</v>
          </cell>
        </row>
        <row r="11">
          <cell r="A11">
            <v>36578</v>
          </cell>
          <cell r="B11">
            <v>-34149417</v>
          </cell>
          <cell r="C11">
            <v>-460903</v>
          </cell>
          <cell r="D11">
            <v>-361828</v>
          </cell>
          <cell r="E11">
            <v>-8565978</v>
          </cell>
          <cell r="F11">
            <v>-10193841</v>
          </cell>
          <cell r="G11">
            <v>-1312578</v>
          </cell>
          <cell r="H11">
            <v>-9546839</v>
          </cell>
          <cell r="J11">
            <v>-69810</v>
          </cell>
          <cell r="K11">
            <v>0</v>
          </cell>
          <cell r="L11">
            <v>327</v>
          </cell>
          <cell r="M11">
            <v>-31623</v>
          </cell>
          <cell r="N11">
            <v>0</v>
          </cell>
          <cell r="O11">
            <v>0</v>
          </cell>
          <cell r="P11">
            <v>-294837</v>
          </cell>
          <cell r="R11">
            <v>424329</v>
          </cell>
        </row>
        <row r="12">
          <cell r="A12">
            <v>36608</v>
          </cell>
          <cell r="B12">
            <v>-34229822</v>
          </cell>
          <cell r="C12">
            <v>-460903</v>
          </cell>
          <cell r="D12">
            <v>-363085</v>
          </cell>
          <cell r="E12">
            <v>-8597320</v>
          </cell>
          <cell r="F12">
            <v>-10193841</v>
          </cell>
          <cell r="G12">
            <v>-1312578</v>
          </cell>
          <cell r="H12">
            <v>-9890651</v>
          </cell>
          <cell r="J12">
            <v>-80405</v>
          </cell>
          <cell r="K12">
            <v>0</v>
          </cell>
          <cell r="L12">
            <v>-1257</v>
          </cell>
          <cell r="M12">
            <v>-31342</v>
          </cell>
          <cell r="N12">
            <v>0</v>
          </cell>
          <cell r="O12">
            <v>0</v>
          </cell>
          <cell r="P12">
            <v>-343812</v>
          </cell>
          <cell r="R12">
            <v>450471</v>
          </cell>
        </row>
        <row r="13">
          <cell r="A13">
            <v>36638</v>
          </cell>
          <cell r="B13">
            <v>-34279729</v>
          </cell>
          <cell r="C13">
            <v>-460903</v>
          </cell>
          <cell r="D13">
            <v>-383864</v>
          </cell>
          <cell r="E13">
            <v>-8615900</v>
          </cell>
          <cell r="F13">
            <v>-10193841</v>
          </cell>
          <cell r="G13">
            <v>-1312578</v>
          </cell>
          <cell r="H13">
            <v>-10106989</v>
          </cell>
          <cell r="J13">
            <v>-49907</v>
          </cell>
          <cell r="K13">
            <v>0</v>
          </cell>
          <cell r="L13">
            <v>-20779</v>
          </cell>
          <cell r="M13">
            <v>-18580</v>
          </cell>
          <cell r="N13">
            <v>0</v>
          </cell>
          <cell r="O13">
            <v>0</v>
          </cell>
          <cell r="P13">
            <v>-216338</v>
          </cell>
          <cell r="R13">
            <v>327969</v>
          </cell>
        </row>
        <row r="14">
          <cell r="A14">
            <v>36668</v>
          </cell>
          <cell r="B14">
            <v>-34319485</v>
          </cell>
          <cell r="C14">
            <v>-460903</v>
          </cell>
          <cell r="D14">
            <v>-391099</v>
          </cell>
          <cell r="E14">
            <v>-8658291</v>
          </cell>
          <cell r="F14">
            <v>-10193841</v>
          </cell>
          <cell r="G14">
            <v>-1312578</v>
          </cell>
          <cell r="H14">
            <v>-10295803</v>
          </cell>
          <cell r="J14">
            <v>-39756</v>
          </cell>
          <cell r="K14">
            <v>0</v>
          </cell>
          <cell r="L14">
            <v>-7235</v>
          </cell>
          <cell r="M14">
            <v>-42391</v>
          </cell>
          <cell r="N14">
            <v>0</v>
          </cell>
          <cell r="O14">
            <v>0</v>
          </cell>
          <cell r="P14">
            <v>-188814</v>
          </cell>
          <cell r="R14">
            <v>155978</v>
          </cell>
        </row>
        <row r="15">
          <cell r="A15">
            <v>36698</v>
          </cell>
          <cell r="B15">
            <v>-34342457</v>
          </cell>
          <cell r="C15">
            <v>-460903</v>
          </cell>
          <cell r="D15">
            <v>-399103</v>
          </cell>
          <cell r="E15">
            <v>-8687757</v>
          </cell>
          <cell r="F15">
            <v>-10193841</v>
          </cell>
          <cell r="G15">
            <v>-1312578</v>
          </cell>
          <cell r="H15">
            <v>-10431576</v>
          </cell>
          <cell r="J15">
            <v>-22972</v>
          </cell>
          <cell r="K15">
            <v>0</v>
          </cell>
          <cell r="L15">
            <v>-8004</v>
          </cell>
          <cell r="M15">
            <v>-29466</v>
          </cell>
          <cell r="N15">
            <v>0</v>
          </cell>
          <cell r="O15">
            <v>0</v>
          </cell>
          <cell r="P15">
            <v>-135773</v>
          </cell>
          <cell r="R15">
            <v>196844</v>
          </cell>
        </row>
        <row r="16">
          <cell r="A16">
            <v>36728</v>
          </cell>
          <cell r="B16">
            <v>-34354687</v>
          </cell>
          <cell r="C16">
            <v>-460903</v>
          </cell>
          <cell r="D16">
            <v>-398845</v>
          </cell>
          <cell r="E16">
            <v>-8717222</v>
          </cell>
          <cell r="F16">
            <v>-10193841</v>
          </cell>
          <cell r="G16">
            <v>-1312578</v>
          </cell>
          <cell r="H16">
            <v>-10538298</v>
          </cell>
          <cell r="J16">
            <v>-12230</v>
          </cell>
          <cell r="K16">
            <v>0</v>
          </cell>
          <cell r="L16">
            <v>258</v>
          </cell>
          <cell r="M16">
            <v>-29465</v>
          </cell>
          <cell r="N16">
            <v>0</v>
          </cell>
          <cell r="O16">
            <v>0</v>
          </cell>
          <cell r="P16">
            <v>-106722</v>
          </cell>
          <cell r="R16">
            <v>139168</v>
          </cell>
        </row>
        <row r="17">
          <cell r="A17">
            <v>36758</v>
          </cell>
          <cell r="B17">
            <v>-34363016</v>
          </cell>
          <cell r="C17">
            <v>-460903</v>
          </cell>
          <cell r="D17">
            <v>-379460</v>
          </cell>
          <cell r="E17">
            <v>-8746680</v>
          </cell>
          <cell r="F17">
            <v>-10193841</v>
          </cell>
          <cell r="G17">
            <v>-1312578</v>
          </cell>
          <cell r="H17">
            <v>-10661355</v>
          </cell>
          <cell r="J17">
            <v>-8329</v>
          </cell>
          <cell r="K17">
            <v>0</v>
          </cell>
          <cell r="L17">
            <v>19385</v>
          </cell>
          <cell r="M17">
            <v>-29458</v>
          </cell>
          <cell r="N17">
            <v>0</v>
          </cell>
          <cell r="O17">
            <v>0</v>
          </cell>
          <cell r="P17">
            <v>-123057</v>
          </cell>
          <cell r="R17">
            <v>118014</v>
          </cell>
        </row>
        <row r="18">
          <cell r="A18">
            <v>36788</v>
          </cell>
          <cell r="B18">
            <v>-34370858</v>
          </cell>
          <cell r="C18">
            <v>-460903</v>
          </cell>
          <cell r="D18">
            <v>-374680</v>
          </cell>
          <cell r="E18">
            <v>-8776117</v>
          </cell>
          <cell r="F18">
            <v>-10193841</v>
          </cell>
          <cell r="G18">
            <v>-1312578</v>
          </cell>
          <cell r="H18">
            <v>-10758574</v>
          </cell>
          <cell r="J18">
            <v>-7842</v>
          </cell>
          <cell r="K18">
            <v>0</v>
          </cell>
          <cell r="L18">
            <v>4780</v>
          </cell>
          <cell r="M18">
            <v>-29437</v>
          </cell>
          <cell r="N18">
            <v>0</v>
          </cell>
          <cell r="O18">
            <v>0</v>
          </cell>
          <cell r="P18">
            <v>-97219</v>
          </cell>
          <cell r="R18">
            <v>122243</v>
          </cell>
        </row>
        <row r="19">
          <cell r="A19">
            <v>36818</v>
          </cell>
          <cell r="B19">
            <v>-34380565</v>
          </cell>
          <cell r="C19">
            <v>-460903</v>
          </cell>
          <cell r="D19">
            <v>-390008</v>
          </cell>
          <cell r="E19">
            <v>-8805556</v>
          </cell>
          <cell r="F19">
            <v>-10193841</v>
          </cell>
          <cell r="G19">
            <v>-1312578</v>
          </cell>
          <cell r="H19">
            <v>-10853785</v>
          </cell>
          <cell r="J19">
            <v>-9707</v>
          </cell>
          <cell r="K19">
            <v>0</v>
          </cell>
          <cell r="L19">
            <v>-15328</v>
          </cell>
          <cell r="M19">
            <v>-29439</v>
          </cell>
          <cell r="N19">
            <v>0</v>
          </cell>
          <cell r="O19">
            <v>0</v>
          </cell>
          <cell r="P19">
            <v>-95211</v>
          </cell>
          <cell r="R19">
            <v>117635</v>
          </cell>
        </row>
        <row r="20">
          <cell r="A20">
            <v>36848</v>
          </cell>
          <cell r="B20">
            <v>-34399615</v>
          </cell>
          <cell r="C20">
            <v>-460903</v>
          </cell>
          <cell r="D20">
            <v>-391488</v>
          </cell>
          <cell r="E20">
            <v>-8834993</v>
          </cell>
          <cell r="F20">
            <v>-10193841</v>
          </cell>
          <cell r="G20">
            <v>-1312578</v>
          </cell>
          <cell r="H20">
            <v>-10978393</v>
          </cell>
          <cell r="J20">
            <v>-19050</v>
          </cell>
          <cell r="K20">
            <v>0</v>
          </cell>
          <cell r="L20">
            <v>-1480</v>
          </cell>
          <cell r="M20">
            <v>-29437</v>
          </cell>
          <cell r="N20">
            <v>0</v>
          </cell>
          <cell r="O20">
            <v>0</v>
          </cell>
          <cell r="P20">
            <v>-124608</v>
          </cell>
          <cell r="R20">
            <v>160043</v>
          </cell>
        </row>
        <row r="21">
          <cell r="A21">
            <v>36878</v>
          </cell>
          <cell r="B21">
            <v>-34424730</v>
          </cell>
          <cell r="C21">
            <v>-460903</v>
          </cell>
          <cell r="D21">
            <v>-402883</v>
          </cell>
          <cell r="E21">
            <v>-8864430</v>
          </cell>
          <cell r="F21">
            <v>-10193841</v>
          </cell>
          <cell r="G21">
            <v>-1312578</v>
          </cell>
          <cell r="H21">
            <v>-11139368</v>
          </cell>
          <cell r="J21">
            <v>-25115</v>
          </cell>
          <cell r="K21">
            <v>0</v>
          </cell>
          <cell r="L21">
            <v>-11395</v>
          </cell>
          <cell r="M21">
            <v>-29437</v>
          </cell>
          <cell r="N21">
            <v>0</v>
          </cell>
          <cell r="O21">
            <v>0</v>
          </cell>
          <cell r="P21">
            <v>-160975</v>
          </cell>
          <cell r="R21">
            <v>207225</v>
          </cell>
        </row>
        <row r="22">
          <cell r="A22">
            <v>36908</v>
          </cell>
          <cell r="B22">
            <v>-34488310</v>
          </cell>
          <cell r="C22">
            <v>-460903</v>
          </cell>
          <cell r="D22">
            <v>-405338</v>
          </cell>
          <cell r="E22">
            <v>-8893411</v>
          </cell>
          <cell r="F22">
            <v>-10193841</v>
          </cell>
          <cell r="G22">
            <v>-1312578</v>
          </cell>
          <cell r="H22">
            <v>-11417703</v>
          </cell>
          <cell r="J22">
            <v>-63580</v>
          </cell>
          <cell r="K22">
            <v>0</v>
          </cell>
          <cell r="L22">
            <v>-2455</v>
          </cell>
          <cell r="M22">
            <v>-28981</v>
          </cell>
          <cell r="N22">
            <v>0</v>
          </cell>
          <cell r="O22">
            <v>0</v>
          </cell>
          <cell r="P22">
            <v>-278335</v>
          </cell>
          <cell r="R22">
            <v>372929</v>
          </cell>
        </row>
        <row r="23">
          <cell r="A23">
            <v>36938</v>
          </cell>
          <cell r="B23">
            <v>-34570693</v>
          </cell>
          <cell r="C23">
            <v>-460903</v>
          </cell>
          <cell r="D23">
            <v>-418833</v>
          </cell>
          <cell r="E23">
            <v>-8922391</v>
          </cell>
          <cell r="F23">
            <v>-10193841</v>
          </cell>
          <cell r="G23">
            <v>-1312578</v>
          </cell>
          <cell r="H23">
            <v>-11746015</v>
          </cell>
          <cell r="J23">
            <v>-82383</v>
          </cell>
          <cell r="K23">
            <v>0</v>
          </cell>
          <cell r="L23">
            <v>-13495</v>
          </cell>
          <cell r="M23">
            <v>-28980</v>
          </cell>
          <cell r="N23">
            <v>0</v>
          </cell>
          <cell r="O23">
            <v>0</v>
          </cell>
          <cell r="P23">
            <v>-328312</v>
          </cell>
          <cell r="R23">
            <v>450122</v>
          </cell>
        </row>
        <row r="24">
          <cell r="A24">
            <v>36968</v>
          </cell>
          <cell r="B24">
            <v>-34655152</v>
          </cell>
          <cell r="C24">
            <v>-460903</v>
          </cell>
          <cell r="D24">
            <v>-418736</v>
          </cell>
          <cell r="E24">
            <v>-8951263</v>
          </cell>
          <cell r="F24">
            <v>-10193841</v>
          </cell>
          <cell r="G24">
            <v>-1312578</v>
          </cell>
          <cell r="H24">
            <v>-12018586</v>
          </cell>
          <cell r="J24">
            <v>-84459</v>
          </cell>
          <cell r="K24">
            <v>0</v>
          </cell>
          <cell r="L24">
            <v>97</v>
          </cell>
          <cell r="M24">
            <v>-28872</v>
          </cell>
          <cell r="N24">
            <v>0</v>
          </cell>
          <cell r="O24">
            <v>0</v>
          </cell>
          <cell r="P24">
            <v>-272571</v>
          </cell>
          <cell r="R24">
            <v>236306</v>
          </cell>
        </row>
        <row r="25">
          <cell r="A25">
            <v>36998</v>
          </cell>
          <cell r="B25">
            <v>-34709679</v>
          </cell>
          <cell r="C25">
            <v>-460903</v>
          </cell>
          <cell r="D25">
            <v>-414693</v>
          </cell>
          <cell r="E25">
            <v>-8980132</v>
          </cell>
          <cell r="F25">
            <v>-10193841</v>
          </cell>
          <cell r="G25">
            <v>-1312578</v>
          </cell>
          <cell r="H25">
            <v>-12256476</v>
          </cell>
          <cell r="J25">
            <v>-54527</v>
          </cell>
          <cell r="K25">
            <v>0</v>
          </cell>
          <cell r="L25">
            <v>4043</v>
          </cell>
          <cell r="M25">
            <v>-28869</v>
          </cell>
          <cell r="N25">
            <v>0</v>
          </cell>
          <cell r="O25">
            <v>0</v>
          </cell>
          <cell r="P25">
            <v>-237890</v>
          </cell>
          <cell r="R25">
            <v>225529</v>
          </cell>
        </row>
        <row r="26">
          <cell r="A26">
            <v>37028</v>
          </cell>
          <cell r="B26">
            <v>-34741110</v>
          </cell>
          <cell r="C26">
            <v>-460903</v>
          </cell>
          <cell r="D26">
            <v>-416750</v>
          </cell>
          <cell r="E26">
            <v>-9008300</v>
          </cell>
          <cell r="F26">
            <v>-10193841</v>
          </cell>
          <cell r="G26">
            <v>-1312578</v>
          </cell>
          <cell r="H26">
            <v>-12443713</v>
          </cell>
          <cell r="J26">
            <v>-31431</v>
          </cell>
          <cell r="K26">
            <v>0</v>
          </cell>
          <cell r="L26">
            <v>-2057</v>
          </cell>
          <cell r="M26">
            <v>-28168</v>
          </cell>
          <cell r="N26">
            <v>0</v>
          </cell>
          <cell r="O26">
            <v>0</v>
          </cell>
          <cell r="P26">
            <v>-187237</v>
          </cell>
          <cell r="R26">
            <v>179061</v>
          </cell>
        </row>
        <row r="27">
          <cell r="A27">
            <v>37058</v>
          </cell>
          <cell r="B27">
            <v>-34758805</v>
          </cell>
          <cell r="C27">
            <v>-460903</v>
          </cell>
          <cell r="D27">
            <v>-415597</v>
          </cell>
          <cell r="E27">
            <v>-9036590</v>
          </cell>
          <cell r="F27">
            <v>-10193841</v>
          </cell>
          <cell r="G27">
            <v>-1312578</v>
          </cell>
          <cell r="H27">
            <v>-12559673</v>
          </cell>
          <cell r="J27">
            <v>-17695</v>
          </cell>
          <cell r="K27">
            <v>0</v>
          </cell>
          <cell r="L27">
            <v>1153</v>
          </cell>
          <cell r="M27">
            <v>-28290</v>
          </cell>
          <cell r="N27">
            <v>0</v>
          </cell>
          <cell r="O27">
            <v>0</v>
          </cell>
          <cell r="P27">
            <v>-115960</v>
          </cell>
          <cell r="R27">
            <v>118018</v>
          </cell>
        </row>
        <row r="28">
          <cell r="A28">
            <v>37088</v>
          </cell>
          <cell r="B28">
            <v>-34770296</v>
          </cell>
          <cell r="C28">
            <v>-460903</v>
          </cell>
          <cell r="D28">
            <v>-445144</v>
          </cell>
          <cell r="E28">
            <v>-9064855</v>
          </cell>
          <cell r="F28">
            <v>-10193841</v>
          </cell>
          <cell r="G28">
            <v>-1312578</v>
          </cell>
          <cell r="H28">
            <v>-12658121</v>
          </cell>
          <cell r="J28">
            <v>-11491</v>
          </cell>
          <cell r="K28">
            <v>0</v>
          </cell>
          <cell r="L28">
            <v>-29547</v>
          </cell>
          <cell r="M28">
            <v>-28265</v>
          </cell>
          <cell r="N28">
            <v>0</v>
          </cell>
          <cell r="O28">
            <v>0</v>
          </cell>
          <cell r="P28">
            <v>-98448</v>
          </cell>
          <cell r="R28">
            <v>105735</v>
          </cell>
        </row>
        <row r="29">
          <cell r="A29">
            <v>37118</v>
          </cell>
          <cell r="B29">
            <v>-34777426</v>
          </cell>
          <cell r="C29">
            <v>-460903</v>
          </cell>
          <cell r="D29">
            <v>-444618</v>
          </cell>
          <cell r="E29">
            <v>-9093127</v>
          </cell>
          <cell r="F29">
            <v>-10193841</v>
          </cell>
          <cell r="G29">
            <v>-1312578</v>
          </cell>
          <cell r="H29">
            <v>-12737212</v>
          </cell>
          <cell r="J29">
            <v>-7130</v>
          </cell>
          <cell r="K29">
            <v>0</v>
          </cell>
          <cell r="L29">
            <v>526</v>
          </cell>
          <cell r="M29">
            <v>-28272</v>
          </cell>
          <cell r="N29">
            <v>0</v>
          </cell>
          <cell r="O29">
            <v>0</v>
          </cell>
          <cell r="P29">
            <v>-79091</v>
          </cell>
          <cell r="R29">
            <v>89684</v>
          </cell>
        </row>
        <row r="30">
          <cell r="A30">
            <v>37148</v>
          </cell>
          <cell r="B30">
            <v>-34784150</v>
          </cell>
          <cell r="C30">
            <v>-460903</v>
          </cell>
          <cell r="D30">
            <v>-454827</v>
          </cell>
          <cell r="E30">
            <v>-9118824</v>
          </cell>
          <cell r="F30">
            <v>-10193841</v>
          </cell>
          <cell r="G30">
            <v>-1312578</v>
          </cell>
          <cell r="H30">
            <v>-12825029</v>
          </cell>
          <cell r="J30">
            <v>-6724</v>
          </cell>
          <cell r="K30">
            <v>0</v>
          </cell>
          <cell r="L30">
            <v>-10209</v>
          </cell>
          <cell r="M30">
            <v>-25697</v>
          </cell>
          <cell r="N30">
            <v>0</v>
          </cell>
          <cell r="O30">
            <v>0</v>
          </cell>
          <cell r="P30">
            <v>-87817</v>
          </cell>
          <cell r="R30">
            <v>94294</v>
          </cell>
        </row>
        <row r="31">
          <cell r="A31">
            <v>37178</v>
          </cell>
          <cell r="B31">
            <v>-34792666</v>
          </cell>
          <cell r="C31">
            <v>-460903</v>
          </cell>
          <cell r="D31">
            <v>-474456</v>
          </cell>
          <cell r="E31">
            <v>-9144523</v>
          </cell>
          <cell r="F31">
            <v>-10193841</v>
          </cell>
          <cell r="G31">
            <v>-1312578</v>
          </cell>
          <cell r="H31">
            <v>-12913517</v>
          </cell>
          <cell r="J31">
            <v>-8516</v>
          </cell>
          <cell r="K31">
            <v>0</v>
          </cell>
          <cell r="L31">
            <v>-19629</v>
          </cell>
          <cell r="M31">
            <v>-25699</v>
          </cell>
          <cell r="N31">
            <v>0</v>
          </cell>
          <cell r="O31">
            <v>0</v>
          </cell>
          <cell r="P31">
            <v>-88488</v>
          </cell>
          <cell r="R31">
            <v>95476</v>
          </cell>
        </row>
        <row r="32">
          <cell r="A32">
            <v>37208</v>
          </cell>
          <cell r="B32">
            <v>-34808233</v>
          </cell>
          <cell r="C32">
            <v>-460903</v>
          </cell>
          <cell r="D32">
            <v>-540357</v>
          </cell>
          <cell r="E32">
            <v>-9172709</v>
          </cell>
          <cell r="F32">
            <v>-10193841</v>
          </cell>
          <cell r="G32">
            <v>-1312578</v>
          </cell>
          <cell r="H32">
            <v>-13033621</v>
          </cell>
          <cell r="J32">
            <v>-15567</v>
          </cell>
          <cell r="K32">
            <v>0</v>
          </cell>
          <cell r="L32">
            <v>-65901</v>
          </cell>
          <cell r="M32">
            <v>-28186</v>
          </cell>
          <cell r="N32">
            <v>0</v>
          </cell>
          <cell r="O32">
            <v>0</v>
          </cell>
          <cell r="P32">
            <v>-120104</v>
          </cell>
          <cell r="R32">
            <v>125024</v>
          </cell>
        </row>
        <row r="33">
          <cell r="A33">
            <v>37238</v>
          </cell>
          <cell r="B33">
            <v>-34834369</v>
          </cell>
          <cell r="C33">
            <v>-460903</v>
          </cell>
          <cell r="D33">
            <v>-570098</v>
          </cell>
          <cell r="E33">
            <v>-9197816</v>
          </cell>
          <cell r="F33">
            <v>-10193841</v>
          </cell>
          <cell r="G33">
            <v>-1312578</v>
          </cell>
          <cell r="H33">
            <v>-13224972</v>
          </cell>
          <cell r="J33">
            <v>-26136</v>
          </cell>
          <cell r="K33">
            <v>0</v>
          </cell>
          <cell r="L33">
            <v>-29741</v>
          </cell>
          <cell r="M33">
            <v>-25107</v>
          </cell>
          <cell r="N33">
            <v>0</v>
          </cell>
          <cell r="O33">
            <v>0</v>
          </cell>
          <cell r="P33">
            <v>-191351</v>
          </cell>
          <cell r="R33">
            <v>170732</v>
          </cell>
        </row>
        <row r="34">
          <cell r="A34">
            <v>37268</v>
          </cell>
          <cell r="B34">
            <v>-34870465</v>
          </cell>
          <cell r="C34">
            <v>-460903</v>
          </cell>
          <cell r="D34">
            <v>-573961</v>
          </cell>
          <cell r="E34">
            <v>-9226096</v>
          </cell>
          <cell r="F34">
            <v>-10193841</v>
          </cell>
          <cell r="G34">
            <v>-1312578</v>
          </cell>
          <cell r="H34">
            <v>-13410289</v>
          </cell>
          <cell r="J34">
            <v>-36096</v>
          </cell>
          <cell r="K34">
            <v>0</v>
          </cell>
          <cell r="L34">
            <v>-3863</v>
          </cell>
          <cell r="M34">
            <v>-28280</v>
          </cell>
          <cell r="N34">
            <v>0</v>
          </cell>
          <cell r="O34">
            <v>0</v>
          </cell>
          <cell r="P34">
            <v>-185317</v>
          </cell>
          <cell r="R34">
            <v>178789</v>
          </cell>
        </row>
        <row r="35">
          <cell r="A35">
            <v>37298</v>
          </cell>
          <cell r="B35">
            <v>-34933091</v>
          </cell>
          <cell r="C35">
            <v>-460903</v>
          </cell>
          <cell r="D35">
            <v>-577588</v>
          </cell>
          <cell r="E35">
            <v>-9254376</v>
          </cell>
          <cell r="F35">
            <v>-10193841</v>
          </cell>
          <cell r="G35">
            <v>-1312578</v>
          </cell>
          <cell r="H35">
            <v>-13691423</v>
          </cell>
          <cell r="J35">
            <v>-62626</v>
          </cell>
          <cell r="K35">
            <v>0</v>
          </cell>
          <cell r="L35">
            <v>-3627</v>
          </cell>
          <cell r="M35">
            <v>-28280</v>
          </cell>
          <cell r="N35">
            <v>0</v>
          </cell>
          <cell r="O35">
            <v>0</v>
          </cell>
          <cell r="P35">
            <v>-281134</v>
          </cell>
          <cell r="R35">
            <v>259754</v>
          </cell>
        </row>
        <row r="36">
          <cell r="A36">
            <v>37328</v>
          </cell>
          <cell r="B36">
            <v>-34980367</v>
          </cell>
          <cell r="C36">
            <v>-460903</v>
          </cell>
          <cell r="D36">
            <v>-602282</v>
          </cell>
          <cell r="E36">
            <v>-9282606</v>
          </cell>
          <cell r="F36">
            <v>-10193841</v>
          </cell>
          <cell r="G36">
            <v>-1312578</v>
          </cell>
          <cell r="H36">
            <v>-13942154</v>
          </cell>
          <cell r="J36">
            <v>-47276</v>
          </cell>
          <cell r="K36">
            <v>0</v>
          </cell>
          <cell r="L36">
            <v>-24694</v>
          </cell>
          <cell r="M36">
            <v>-28230</v>
          </cell>
          <cell r="N36">
            <v>0</v>
          </cell>
          <cell r="O36">
            <v>0</v>
          </cell>
          <cell r="P36">
            <v>-250731</v>
          </cell>
          <cell r="R36">
            <v>228980</v>
          </cell>
        </row>
        <row r="37">
          <cell r="A37">
            <v>37358</v>
          </cell>
          <cell r="B37">
            <v>-35033255</v>
          </cell>
          <cell r="C37">
            <v>-460903</v>
          </cell>
          <cell r="D37">
            <v>-627939</v>
          </cell>
          <cell r="E37">
            <v>-9310803</v>
          </cell>
          <cell r="F37">
            <v>-10193841</v>
          </cell>
          <cell r="G37">
            <v>-1312578</v>
          </cell>
          <cell r="H37">
            <v>-14184353</v>
          </cell>
          <cell r="J37">
            <v>-52888</v>
          </cell>
          <cell r="K37">
            <v>0</v>
          </cell>
          <cell r="L37">
            <v>-25657</v>
          </cell>
          <cell r="M37">
            <v>-28197</v>
          </cell>
          <cell r="N37">
            <v>0</v>
          </cell>
          <cell r="O37">
            <v>0</v>
          </cell>
          <cell r="P37">
            <v>-242199</v>
          </cell>
          <cell r="R37">
            <v>146825</v>
          </cell>
        </row>
        <row r="38">
          <cell r="A38">
            <v>37388</v>
          </cell>
          <cell r="B38">
            <v>-35070402</v>
          </cell>
          <cell r="C38">
            <v>-460903</v>
          </cell>
          <cell r="D38">
            <v>-635230</v>
          </cell>
          <cell r="E38">
            <v>-9339000</v>
          </cell>
          <cell r="F38">
            <v>-10193841</v>
          </cell>
          <cell r="G38">
            <v>-1312578</v>
          </cell>
          <cell r="H38">
            <v>-14392584</v>
          </cell>
          <cell r="J38">
            <v>-37147</v>
          </cell>
          <cell r="K38">
            <v>0</v>
          </cell>
          <cell r="L38">
            <v>-7291</v>
          </cell>
          <cell r="M38">
            <v>-28197</v>
          </cell>
          <cell r="N38">
            <v>0</v>
          </cell>
          <cell r="O38">
            <v>0</v>
          </cell>
          <cell r="P38">
            <v>-208231</v>
          </cell>
          <cell r="R38">
            <v>125945</v>
          </cell>
        </row>
        <row r="39">
          <cell r="A39">
            <v>37418</v>
          </cell>
          <cell r="B39">
            <v>-35092679</v>
          </cell>
          <cell r="C39">
            <v>-460903</v>
          </cell>
          <cell r="D39">
            <v>-636123</v>
          </cell>
          <cell r="E39">
            <v>-9367120</v>
          </cell>
          <cell r="F39">
            <v>-10193841</v>
          </cell>
          <cell r="G39">
            <v>-1312578</v>
          </cell>
          <cell r="H39">
            <v>-14526151</v>
          </cell>
          <cell r="J39">
            <v>-22277</v>
          </cell>
          <cell r="K39">
            <v>0</v>
          </cell>
          <cell r="L39">
            <v>-893</v>
          </cell>
          <cell r="M39">
            <v>-28120</v>
          </cell>
          <cell r="N39">
            <v>0</v>
          </cell>
          <cell r="O39">
            <v>0</v>
          </cell>
          <cell r="P39">
            <v>-133567</v>
          </cell>
          <cell r="R39">
            <v>106035</v>
          </cell>
        </row>
        <row r="40">
          <cell r="A40">
            <v>37448</v>
          </cell>
          <cell r="B40">
            <v>-35106824</v>
          </cell>
          <cell r="C40">
            <v>-460903</v>
          </cell>
          <cell r="D40">
            <v>-649164</v>
          </cell>
          <cell r="E40">
            <v>-9395996</v>
          </cell>
          <cell r="F40">
            <v>-10193841</v>
          </cell>
          <cell r="G40">
            <v>-1312578</v>
          </cell>
          <cell r="H40">
            <v>-14627609</v>
          </cell>
          <cell r="J40">
            <v>-14145</v>
          </cell>
          <cell r="K40">
            <v>0</v>
          </cell>
          <cell r="L40">
            <v>-13041</v>
          </cell>
          <cell r="M40">
            <v>-28876</v>
          </cell>
          <cell r="N40">
            <v>0</v>
          </cell>
          <cell r="O40">
            <v>0</v>
          </cell>
          <cell r="P40">
            <v>-101458</v>
          </cell>
          <cell r="R40">
            <v>90576</v>
          </cell>
        </row>
        <row r="41">
          <cell r="A41">
            <v>37478</v>
          </cell>
          <cell r="B41">
            <v>-35114136</v>
          </cell>
          <cell r="C41">
            <v>-460903</v>
          </cell>
          <cell r="D41">
            <v>-657644</v>
          </cell>
          <cell r="E41">
            <v>-9423299</v>
          </cell>
          <cell r="F41">
            <v>-10193841</v>
          </cell>
          <cell r="G41">
            <v>-1312578</v>
          </cell>
          <cell r="H41">
            <v>-14702261</v>
          </cell>
          <cell r="J41">
            <v>-7312</v>
          </cell>
          <cell r="K41">
            <v>0</v>
          </cell>
          <cell r="L41">
            <v>-8480</v>
          </cell>
          <cell r="M41">
            <v>-27303</v>
          </cell>
          <cell r="N41">
            <v>0</v>
          </cell>
          <cell r="O41">
            <v>0</v>
          </cell>
          <cell r="P41">
            <v>-74652</v>
          </cell>
          <cell r="R41">
            <v>79551</v>
          </cell>
        </row>
        <row r="42">
          <cell r="A42">
            <v>37508</v>
          </cell>
          <cell r="B42">
            <v>-35120483</v>
          </cell>
          <cell r="C42">
            <v>-460903</v>
          </cell>
          <cell r="D42">
            <v>-597943</v>
          </cell>
          <cell r="E42">
            <v>-9450587</v>
          </cell>
          <cell r="F42">
            <v>-10193841</v>
          </cell>
          <cell r="G42">
            <v>-1312578</v>
          </cell>
          <cell r="H42">
            <v>-14785112</v>
          </cell>
          <cell r="J42">
            <v>-6347</v>
          </cell>
          <cell r="K42">
            <v>0</v>
          </cell>
          <cell r="L42">
            <v>59701</v>
          </cell>
          <cell r="M42">
            <v>-27288</v>
          </cell>
          <cell r="N42">
            <v>0</v>
          </cell>
          <cell r="O42">
            <v>0</v>
          </cell>
          <cell r="P42">
            <v>-82851</v>
          </cell>
          <cell r="R42">
            <v>83706</v>
          </cell>
        </row>
        <row r="43">
          <cell r="A43">
            <v>37538</v>
          </cell>
          <cell r="B43">
            <v>-35127031.97</v>
          </cell>
          <cell r="C43">
            <v>-555655</v>
          </cell>
          <cell r="D43">
            <v>-606862</v>
          </cell>
          <cell r="E43">
            <v>-9476937</v>
          </cell>
          <cell r="F43">
            <v>-10193841</v>
          </cell>
          <cell r="G43">
            <v>-1312578</v>
          </cell>
          <cell r="H43">
            <v>-14868897</v>
          </cell>
          <cell r="J43">
            <v>-6548.969999998808</v>
          </cell>
          <cell r="K43">
            <v>-94752</v>
          </cell>
          <cell r="L43">
            <v>-8919</v>
          </cell>
          <cell r="M43">
            <v>-26350</v>
          </cell>
          <cell r="N43">
            <v>0</v>
          </cell>
          <cell r="O43">
            <v>0</v>
          </cell>
          <cell r="P43">
            <v>-83785</v>
          </cell>
          <cell r="R43">
            <v>81771</v>
          </cell>
        </row>
        <row r="44">
          <cell r="A44">
            <v>37568</v>
          </cell>
          <cell r="B44">
            <v>-35138490</v>
          </cell>
          <cell r="C44">
            <v>-567518</v>
          </cell>
          <cell r="D44">
            <v>-609315</v>
          </cell>
          <cell r="E44">
            <v>-9503828</v>
          </cell>
          <cell r="F44">
            <v>-10193841</v>
          </cell>
          <cell r="G44">
            <v>-1312578</v>
          </cell>
          <cell r="H44">
            <v>-14969966</v>
          </cell>
          <cell r="J44">
            <v>-11458.030000001192</v>
          </cell>
          <cell r="K44">
            <v>-11863</v>
          </cell>
          <cell r="L44">
            <v>-2453</v>
          </cell>
          <cell r="M44">
            <v>-26891</v>
          </cell>
          <cell r="N44">
            <v>0</v>
          </cell>
          <cell r="O44">
            <v>0</v>
          </cell>
          <cell r="P44">
            <v>-101069</v>
          </cell>
          <cell r="R44">
            <v>94195</v>
          </cell>
        </row>
        <row r="45">
          <cell r="A45">
            <v>37598</v>
          </cell>
          <cell r="B45">
            <v>-35171645</v>
          </cell>
          <cell r="C45">
            <v>-576421</v>
          </cell>
          <cell r="D45">
            <v>-616254</v>
          </cell>
          <cell r="E45">
            <v>-9529637</v>
          </cell>
          <cell r="F45">
            <v>-10193841</v>
          </cell>
          <cell r="G45">
            <v>-1312578</v>
          </cell>
          <cell r="H45">
            <v>-15146508</v>
          </cell>
          <cell r="J45">
            <v>-33155</v>
          </cell>
          <cell r="K45">
            <v>-8903</v>
          </cell>
          <cell r="L45">
            <v>-6939</v>
          </cell>
          <cell r="M45">
            <v>-25809</v>
          </cell>
          <cell r="N45">
            <v>0</v>
          </cell>
          <cell r="O45">
            <v>0</v>
          </cell>
          <cell r="P45">
            <v>-176542</v>
          </cell>
          <cell r="R45">
            <v>119954</v>
          </cell>
        </row>
        <row r="46">
          <cell r="A46">
            <v>37628</v>
          </cell>
          <cell r="B46">
            <v>-35230740</v>
          </cell>
          <cell r="C46">
            <v>-576422</v>
          </cell>
          <cell r="D46">
            <v>-618983</v>
          </cell>
          <cell r="E46">
            <v>-9555987</v>
          </cell>
          <cell r="F46">
            <v>-10193841</v>
          </cell>
          <cell r="G46">
            <v>-1312578</v>
          </cell>
          <cell r="H46">
            <v>-15407083</v>
          </cell>
          <cell r="J46">
            <v>-59095</v>
          </cell>
          <cell r="K46">
            <v>-1</v>
          </cell>
          <cell r="L46">
            <v>-2729</v>
          </cell>
          <cell r="M46">
            <v>-26350</v>
          </cell>
          <cell r="N46">
            <v>0</v>
          </cell>
          <cell r="O46">
            <v>0</v>
          </cell>
          <cell r="P46">
            <v>-260575</v>
          </cell>
          <cell r="R46">
            <v>146296</v>
          </cell>
        </row>
        <row r="47">
          <cell r="A47">
            <v>37658</v>
          </cell>
          <cell r="B47">
            <v>-35303092</v>
          </cell>
          <cell r="C47">
            <v>-576422</v>
          </cell>
          <cell r="D47">
            <v>-621256</v>
          </cell>
          <cell r="E47">
            <v>-9582337</v>
          </cell>
          <cell r="F47">
            <v>-10193841</v>
          </cell>
          <cell r="G47">
            <v>-1312578</v>
          </cell>
          <cell r="H47">
            <v>-15711529</v>
          </cell>
          <cell r="J47">
            <v>-72352</v>
          </cell>
          <cell r="K47">
            <v>0</v>
          </cell>
          <cell r="L47">
            <v>-2273</v>
          </cell>
          <cell r="M47">
            <v>-26350</v>
          </cell>
          <cell r="N47">
            <v>0</v>
          </cell>
          <cell r="O47">
            <v>0</v>
          </cell>
          <cell r="P47">
            <v>-304446</v>
          </cell>
          <cell r="R47">
            <v>167113</v>
          </cell>
        </row>
        <row r="48">
          <cell r="A48">
            <v>37688</v>
          </cell>
          <cell r="B48">
            <v>-35425001</v>
          </cell>
          <cell r="C48">
            <v>-557710</v>
          </cell>
          <cell r="D48">
            <v>-625664</v>
          </cell>
          <cell r="E48">
            <v>-9608679</v>
          </cell>
          <cell r="F48">
            <v>-10193841</v>
          </cell>
          <cell r="G48">
            <v>-1312578</v>
          </cell>
          <cell r="H48">
            <v>-15989809</v>
          </cell>
          <cell r="J48">
            <v>-121909</v>
          </cell>
          <cell r="K48">
            <v>18712</v>
          </cell>
          <cell r="L48">
            <v>-4408</v>
          </cell>
          <cell r="M48">
            <v>-26342</v>
          </cell>
          <cell r="N48">
            <v>0</v>
          </cell>
          <cell r="O48">
            <v>0</v>
          </cell>
          <cell r="P48">
            <v>-278280</v>
          </cell>
          <cell r="R48">
            <v>204937</v>
          </cell>
        </row>
        <row r="49">
          <cell r="A49">
            <v>37718</v>
          </cell>
          <cell r="B49">
            <v>-35445317</v>
          </cell>
          <cell r="C49">
            <v>-576478</v>
          </cell>
          <cell r="D49">
            <v>-628033</v>
          </cell>
          <cell r="E49">
            <v>-9635021</v>
          </cell>
          <cell r="F49">
            <v>-10193841</v>
          </cell>
          <cell r="G49">
            <v>-1312578</v>
          </cell>
          <cell r="H49">
            <v>-16284597</v>
          </cell>
          <cell r="J49">
            <v>-20316</v>
          </cell>
          <cell r="K49">
            <v>-18768</v>
          </cell>
          <cell r="L49">
            <v>-2369</v>
          </cell>
          <cell r="M49">
            <v>-26342</v>
          </cell>
          <cell r="N49">
            <v>0</v>
          </cell>
          <cell r="O49">
            <v>0</v>
          </cell>
          <cell r="P49">
            <v>-294788</v>
          </cell>
          <cell r="R49">
            <v>196464</v>
          </cell>
        </row>
        <row r="50">
          <cell r="A50">
            <v>37748</v>
          </cell>
          <cell r="B50">
            <v>-35477476</v>
          </cell>
          <cell r="C50">
            <v>-576478</v>
          </cell>
          <cell r="D50">
            <v>-631631</v>
          </cell>
          <cell r="E50">
            <v>-9661364</v>
          </cell>
          <cell r="F50">
            <v>-10193841</v>
          </cell>
          <cell r="G50">
            <v>-1312578</v>
          </cell>
          <cell r="H50">
            <v>-16398653</v>
          </cell>
          <cell r="J50">
            <v>-32159</v>
          </cell>
          <cell r="K50">
            <v>0</v>
          </cell>
          <cell r="L50">
            <v>-3598</v>
          </cell>
          <cell r="M50">
            <v>-26343</v>
          </cell>
          <cell r="N50">
            <v>0</v>
          </cell>
          <cell r="O50">
            <v>0</v>
          </cell>
          <cell r="P50">
            <v>-114056</v>
          </cell>
          <cell r="R50">
            <v>145235</v>
          </cell>
        </row>
        <row r="51">
          <cell r="A51">
            <v>37778</v>
          </cell>
          <cell r="B51">
            <v>-35493490</v>
          </cell>
          <cell r="C51">
            <v>-576478</v>
          </cell>
          <cell r="D51">
            <v>-629038</v>
          </cell>
          <cell r="E51">
            <v>-9687608</v>
          </cell>
          <cell r="F51">
            <v>-10193841</v>
          </cell>
          <cell r="G51">
            <v>-1312578</v>
          </cell>
          <cell r="H51">
            <v>-16480543</v>
          </cell>
          <cell r="J51">
            <v>-16014</v>
          </cell>
          <cell r="K51">
            <v>0</v>
          </cell>
          <cell r="L51">
            <v>2593</v>
          </cell>
          <cell r="M51">
            <v>-26244</v>
          </cell>
          <cell r="N51">
            <v>0</v>
          </cell>
          <cell r="O51">
            <v>0</v>
          </cell>
          <cell r="P51">
            <v>-81890</v>
          </cell>
          <cell r="R51">
            <v>106151</v>
          </cell>
        </row>
        <row r="52">
          <cell r="A52">
            <v>37808</v>
          </cell>
          <cell r="B52">
            <v>-35505301</v>
          </cell>
          <cell r="C52">
            <v>-576475</v>
          </cell>
          <cell r="D52">
            <v>-637732</v>
          </cell>
          <cell r="E52">
            <v>-9713416</v>
          </cell>
          <cell r="F52">
            <v>-10193841</v>
          </cell>
          <cell r="G52">
            <v>-1312578</v>
          </cell>
          <cell r="H52">
            <v>-16566686</v>
          </cell>
          <cell r="J52">
            <v>-11811</v>
          </cell>
          <cell r="K52">
            <v>3</v>
          </cell>
          <cell r="L52">
            <v>-8694</v>
          </cell>
          <cell r="M52">
            <v>-25808</v>
          </cell>
          <cell r="N52">
            <v>0</v>
          </cell>
          <cell r="O52">
            <v>0</v>
          </cell>
          <cell r="P52">
            <v>-86143</v>
          </cell>
          <cell r="R52">
            <v>88604</v>
          </cell>
        </row>
        <row r="53">
          <cell r="A53">
            <v>37838</v>
          </cell>
          <cell r="B53">
            <v>-35509174</v>
          </cell>
          <cell r="C53">
            <v>-576475</v>
          </cell>
          <cell r="D53">
            <v>-636341</v>
          </cell>
          <cell r="E53">
            <v>-9739215</v>
          </cell>
          <cell r="F53">
            <v>-10193841</v>
          </cell>
          <cell r="G53">
            <v>-1312578</v>
          </cell>
          <cell r="H53">
            <v>-16638943</v>
          </cell>
          <cell r="J53">
            <v>-3873</v>
          </cell>
          <cell r="K53">
            <v>0</v>
          </cell>
          <cell r="L53">
            <v>1391</v>
          </cell>
          <cell r="M53">
            <v>-25799</v>
          </cell>
          <cell r="N53">
            <v>0</v>
          </cell>
          <cell r="O53">
            <v>0</v>
          </cell>
          <cell r="P53">
            <v>-72257</v>
          </cell>
          <cell r="R53">
            <v>72839</v>
          </cell>
        </row>
        <row r="54">
          <cell r="A54">
            <v>37868</v>
          </cell>
          <cell r="B54">
            <v>-35508158</v>
          </cell>
          <cell r="C54">
            <v>-576475</v>
          </cell>
          <cell r="D54">
            <v>-639039</v>
          </cell>
          <cell r="E54">
            <v>-9765014</v>
          </cell>
          <cell r="F54">
            <v>-10193841</v>
          </cell>
          <cell r="G54">
            <v>-1312578</v>
          </cell>
          <cell r="H54">
            <v>-16715813</v>
          </cell>
          <cell r="J54">
            <v>1016</v>
          </cell>
          <cell r="K54">
            <v>0</v>
          </cell>
          <cell r="L54">
            <v>-2698</v>
          </cell>
          <cell r="M54">
            <v>-25799</v>
          </cell>
          <cell r="N54">
            <v>0</v>
          </cell>
          <cell r="O54">
            <v>0</v>
          </cell>
          <cell r="P54">
            <v>-76870</v>
          </cell>
          <cell r="R54">
            <v>75602</v>
          </cell>
        </row>
        <row r="55">
          <cell r="A55">
            <v>37898</v>
          </cell>
          <cell r="B55">
            <v>-35517469</v>
          </cell>
          <cell r="C55">
            <v>-576475</v>
          </cell>
          <cell r="D55">
            <v>-640152</v>
          </cell>
          <cell r="E55">
            <v>-9790813</v>
          </cell>
          <cell r="F55">
            <v>-10193841</v>
          </cell>
          <cell r="G55">
            <v>-1312578</v>
          </cell>
          <cell r="H55">
            <v>-16795846</v>
          </cell>
          <cell r="J55">
            <v>-9311</v>
          </cell>
          <cell r="K55">
            <v>0</v>
          </cell>
          <cell r="L55">
            <v>-1113</v>
          </cell>
          <cell r="M55">
            <v>-25799</v>
          </cell>
          <cell r="N55">
            <v>0</v>
          </cell>
          <cell r="O55">
            <v>0</v>
          </cell>
          <cell r="P55">
            <v>-80033</v>
          </cell>
          <cell r="R55">
            <v>79267</v>
          </cell>
        </row>
        <row r="56">
          <cell r="A56">
            <v>37928</v>
          </cell>
          <cell r="B56">
            <v>-35534930.93</v>
          </cell>
          <cell r="C56">
            <v>-576228</v>
          </cell>
          <cell r="D56">
            <v>-647863</v>
          </cell>
          <cell r="E56">
            <v>-9816612</v>
          </cell>
          <cell r="F56">
            <v>-10193841</v>
          </cell>
          <cell r="G56">
            <v>-1312578</v>
          </cell>
          <cell r="H56">
            <v>-16913945</v>
          </cell>
          <cell r="J56">
            <v>-17461.929999999702</v>
          </cell>
          <cell r="K56">
            <v>247</v>
          </cell>
          <cell r="L56">
            <v>-7711</v>
          </cell>
          <cell r="M56">
            <v>-25799</v>
          </cell>
          <cell r="N56">
            <v>0</v>
          </cell>
          <cell r="O56">
            <v>0</v>
          </cell>
          <cell r="P56">
            <v>-118099</v>
          </cell>
          <cell r="R56">
            <v>102580</v>
          </cell>
        </row>
        <row r="57">
          <cell r="A57">
            <v>37958</v>
          </cell>
          <cell r="B57">
            <v>-35555776.65</v>
          </cell>
          <cell r="C57">
            <v>-576228</v>
          </cell>
          <cell r="D57">
            <v>-648604</v>
          </cell>
          <cell r="E57">
            <v>-9842411</v>
          </cell>
          <cell r="F57">
            <v>-10193841</v>
          </cell>
          <cell r="G57">
            <v>-1312578</v>
          </cell>
          <cell r="H57">
            <v>-17070932</v>
          </cell>
          <cell r="J57">
            <v>-20845.719999998808</v>
          </cell>
          <cell r="K57">
            <v>0</v>
          </cell>
          <cell r="L57">
            <v>-741</v>
          </cell>
          <cell r="M57">
            <v>-25799</v>
          </cell>
          <cell r="N57">
            <v>0</v>
          </cell>
          <cell r="O57">
            <v>0</v>
          </cell>
          <cell r="P57">
            <v>-156987</v>
          </cell>
          <cell r="R57">
            <v>123790</v>
          </cell>
        </row>
        <row r="58">
          <cell r="A58">
            <v>37988</v>
          </cell>
          <cell r="B58">
            <v>-35596002</v>
          </cell>
          <cell r="C58">
            <v>-576228</v>
          </cell>
          <cell r="D58">
            <v>-652085</v>
          </cell>
          <cell r="E58">
            <v>-9868210</v>
          </cell>
          <cell r="F58">
            <v>-10193841</v>
          </cell>
          <cell r="G58">
            <v>-1312578</v>
          </cell>
          <cell r="H58">
            <v>-17291542</v>
          </cell>
          <cell r="J58">
            <v>-40225.35000000149</v>
          </cell>
          <cell r="K58">
            <v>0</v>
          </cell>
          <cell r="L58">
            <v>-3481</v>
          </cell>
          <cell r="M58">
            <v>-25799</v>
          </cell>
          <cell r="N58">
            <v>0</v>
          </cell>
          <cell r="O58">
            <v>0</v>
          </cell>
          <cell r="P58">
            <v>-220610</v>
          </cell>
          <cell r="R58">
            <v>175149</v>
          </cell>
        </row>
        <row r="59">
          <cell r="A59">
            <v>38018</v>
          </cell>
          <cell r="B59">
            <v>-35634014</v>
          </cell>
          <cell r="C59">
            <v>-576228</v>
          </cell>
          <cell r="D59">
            <v>-653598</v>
          </cell>
          <cell r="E59">
            <v>-9894010</v>
          </cell>
          <cell r="F59">
            <v>-10193841</v>
          </cell>
          <cell r="G59">
            <v>-1312578</v>
          </cell>
          <cell r="H59">
            <v>-17577546</v>
          </cell>
          <cell r="J59">
            <v>-38012</v>
          </cell>
          <cell r="K59">
            <v>0</v>
          </cell>
          <cell r="L59">
            <v>-1513</v>
          </cell>
          <cell r="M59">
            <v>-25800</v>
          </cell>
          <cell r="N59">
            <v>0</v>
          </cell>
          <cell r="O59">
            <v>0</v>
          </cell>
          <cell r="P59">
            <v>-286004</v>
          </cell>
          <cell r="R59">
            <v>220680</v>
          </cell>
        </row>
        <row r="60">
          <cell r="A60">
            <v>38048</v>
          </cell>
          <cell r="B60">
            <v>-35710832</v>
          </cell>
          <cell r="C60">
            <v>-576228</v>
          </cell>
          <cell r="D60">
            <v>-662467</v>
          </cell>
          <cell r="E60">
            <v>-9919820</v>
          </cell>
          <cell r="F60">
            <v>-10193841</v>
          </cell>
          <cell r="G60">
            <v>-1312578</v>
          </cell>
          <cell r="H60">
            <v>-17877279</v>
          </cell>
          <cell r="J60">
            <v>-76818</v>
          </cell>
          <cell r="K60">
            <v>0</v>
          </cell>
          <cell r="L60">
            <v>-8869</v>
          </cell>
          <cell r="M60">
            <v>-25810</v>
          </cell>
          <cell r="N60">
            <v>0</v>
          </cell>
          <cell r="O60">
            <v>0</v>
          </cell>
          <cell r="P60">
            <v>-299733</v>
          </cell>
          <cell r="R60">
            <v>228053</v>
          </cell>
        </row>
        <row r="61">
          <cell r="A61">
            <v>38078</v>
          </cell>
          <cell r="B61">
            <v>-35753712</v>
          </cell>
          <cell r="C61">
            <v>-576228</v>
          </cell>
          <cell r="D61">
            <v>-701140</v>
          </cell>
          <cell r="E61">
            <v>-9945299</v>
          </cell>
          <cell r="F61">
            <v>-10193841</v>
          </cell>
          <cell r="G61">
            <v>-1312578</v>
          </cell>
          <cell r="H61">
            <v>-18107878</v>
          </cell>
          <cell r="J61">
            <v>-42880</v>
          </cell>
          <cell r="K61">
            <v>0</v>
          </cell>
          <cell r="L61">
            <v>-38673</v>
          </cell>
          <cell r="M61">
            <v>-25479</v>
          </cell>
          <cell r="N61">
            <v>0</v>
          </cell>
          <cell r="O61">
            <v>0</v>
          </cell>
          <cell r="P61">
            <v>-230599</v>
          </cell>
          <cell r="R61">
            <v>188054</v>
          </cell>
        </row>
        <row r="62">
          <cell r="A62">
            <v>38108</v>
          </cell>
          <cell r="B62">
            <v>-35783392</v>
          </cell>
          <cell r="C62">
            <v>-576228</v>
          </cell>
          <cell r="D62">
            <v>-705474</v>
          </cell>
          <cell r="E62">
            <v>-9970778</v>
          </cell>
          <cell r="F62">
            <v>-10193841</v>
          </cell>
          <cell r="G62">
            <v>-1312578</v>
          </cell>
          <cell r="H62">
            <v>-18288495</v>
          </cell>
          <cell r="J62">
            <v>-29680</v>
          </cell>
          <cell r="K62">
            <v>0</v>
          </cell>
          <cell r="L62">
            <v>-4334</v>
          </cell>
          <cell r="M62">
            <v>-25479</v>
          </cell>
          <cell r="N62">
            <v>0</v>
          </cell>
          <cell r="O62">
            <v>0</v>
          </cell>
          <cell r="P62">
            <v>-180617</v>
          </cell>
          <cell r="R62">
            <v>150453</v>
          </cell>
        </row>
        <row r="63">
          <cell r="A63">
            <v>38139</v>
          </cell>
          <cell r="B63">
            <v>-35799156</v>
          </cell>
          <cell r="C63">
            <v>-576228</v>
          </cell>
          <cell r="D63">
            <v>-715197</v>
          </cell>
          <cell r="E63">
            <v>-9996165</v>
          </cell>
          <cell r="F63">
            <v>-10193841</v>
          </cell>
          <cell r="G63">
            <v>-1312578</v>
          </cell>
          <cell r="H63">
            <v>-18402476</v>
          </cell>
          <cell r="J63">
            <v>-15764</v>
          </cell>
          <cell r="K63">
            <v>0</v>
          </cell>
          <cell r="L63">
            <v>-9723</v>
          </cell>
          <cell r="M63">
            <v>-25387</v>
          </cell>
          <cell r="N63">
            <v>0</v>
          </cell>
          <cell r="O63">
            <v>0</v>
          </cell>
          <cell r="P63">
            <v>-113981</v>
          </cell>
          <cell r="R63">
            <v>105708</v>
          </cell>
        </row>
        <row r="64">
          <cell r="A64">
            <v>38169</v>
          </cell>
          <cell r="B64">
            <v>-35806929</v>
          </cell>
          <cell r="C64">
            <v>-576228</v>
          </cell>
          <cell r="D64">
            <v>-708162</v>
          </cell>
          <cell r="E64">
            <v>-10018768</v>
          </cell>
          <cell r="F64">
            <v>-10193841</v>
          </cell>
          <cell r="G64">
            <v>-1312578</v>
          </cell>
          <cell r="H64">
            <v>-18487233</v>
          </cell>
          <cell r="J64">
            <v>-7773</v>
          </cell>
          <cell r="K64">
            <v>0</v>
          </cell>
          <cell r="L64">
            <v>7035</v>
          </cell>
          <cell r="M64">
            <v>-22603</v>
          </cell>
          <cell r="N64">
            <v>0</v>
          </cell>
          <cell r="O64">
            <v>0</v>
          </cell>
          <cell r="P64">
            <v>-84757</v>
          </cell>
          <cell r="R64">
            <v>84326</v>
          </cell>
        </row>
        <row r="65">
          <cell r="A65">
            <v>38200</v>
          </cell>
          <cell r="B65">
            <v>-35735231.01</v>
          </cell>
          <cell r="C65">
            <v>-576228</v>
          </cell>
          <cell r="D65">
            <v>-728437.01</v>
          </cell>
          <cell r="E65">
            <v>-10041328.59</v>
          </cell>
          <cell r="F65">
            <v>-10193841</v>
          </cell>
          <cell r="G65">
            <v>-1312578</v>
          </cell>
          <cell r="H65">
            <v>-18566144.2</v>
          </cell>
          <cell r="J65">
            <v>71697.99000000209</v>
          </cell>
          <cell r="K65">
            <v>0</v>
          </cell>
          <cell r="L65">
            <v>-20275.01000000001</v>
          </cell>
          <cell r="M65">
            <v>-22560.58999999985</v>
          </cell>
          <cell r="N65">
            <v>0</v>
          </cell>
          <cell r="O65">
            <v>0</v>
          </cell>
          <cell r="P65">
            <v>-78911.19999999925</v>
          </cell>
          <cell r="R65">
            <v>77353</v>
          </cell>
        </row>
        <row r="66">
          <cell r="A66">
            <v>38231</v>
          </cell>
          <cell r="B66">
            <v>-35740883.96</v>
          </cell>
          <cell r="C66">
            <v>-576228</v>
          </cell>
          <cell r="D66">
            <v>-736047</v>
          </cell>
          <cell r="E66">
            <v>-10063890.38</v>
          </cell>
          <cell r="F66">
            <v>-10193841</v>
          </cell>
          <cell r="G66">
            <v>-1312578</v>
          </cell>
          <cell r="H66">
            <v>-18646736.06</v>
          </cell>
          <cell r="J66">
            <v>-5652.95000000298</v>
          </cell>
          <cell r="K66">
            <v>0</v>
          </cell>
          <cell r="L66">
            <v>-7609.989999999991</v>
          </cell>
          <cell r="M66">
            <v>-22561.79000000097</v>
          </cell>
          <cell r="N66">
            <v>0</v>
          </cell>
          <cell r="O66">
            <v>0</v>
          </cell>
          <cell r="P66">
            <v>-80591.8599999994</v>
          </cell>
          <cell r="R66">
            <v>76830</v>
          </cell>
        </row>
        <row r="67">
          <cell r="A67">
            <v>38262</v>
          </cell>
          <cell r="B67">
            <v>-35749006.06</v>
          </cell>
          <cell r="C67">
            <v>-576228</v>
          </cell>
          <cell r="D67">
            <v>-747125.21</v>
          </cell>
          <cell r="E67">
            <v>-10086452.17</v>
          </cell>
          <cell r="F67">
            <v>-10193841</v>
          </cell>
          <cell r="G67">
            <v>-1312578</v>
          </cell>
          <cell r="H67">
            <v>-18731301.57</v>
          </cell>
          <cell r="J67">
            <v>-8122.10000000149</v>
          </cell>
          <cell r="K67">
            <v>0</v>
          </cell>
          <cell r="L67">
            <v>-11078.209999999963</v>
          </cell>
          <cell r="M67">
            <v>-22561.789999999106</v>
          </cell>
          <cell r="N67">
            <v>0</v>
          </cell>
          <cell r="O67">
            <v>0</v>
          </cell>
          <cell r="P67">
            <v>-84565.51000000164</v>
          </cell>
          <cell r="R67">
            <v>76895</v>
          </cell>
        </row>
        <row r="68">
          <cell r="A68">
            <v>38293</v>
          </cell>
          <cell r="B68">
            <v>-35763238</v>
          </cell>
          <cell r="C68">
            <v>-576228</v>
          </cell>
          <cell r="D68">
            <v>-760226</v>
          </cell>
          <cell r="E68">
            <v>-10108890</v>
          </cell>
          <cell r="F68">
            <v>-10193841</v>
          </cell>
          <cell r="G68">
            <v>-1312578</v>
          </cell>
          <cell r="H68">
            <v>-18840471</v>
          </cell>
          <cell r="J68">
            <v>-14231.939999997616</v>
          </cell>
          <cell r="K68">
            <v>0</v>
          </cell>
          <cell r="L68">
            <v>-13100.790000000037</v>
          </cell>
          <cell r="M68">
            <v>-22437.830000000075</v>
          </cell>
          <cell r="N68">
            <v>0</v>
          </cell>
          <cell r="O68">
            <v>0</v>
          </cell>
          <cell r="P68">
            <v>-109169.4299999997</v>
          </cell>
          <cell r="R68">
            <v>94601</v>
          </cell>
        </row>
        <row r="69">
          <cell r="A69">
            <v>38324</v>
          </cell>
          <cell r="B69">
            <v>-35786124</v>
          </cell>
          <cell r="C69">
            <v>-576228</v>
          </cell>
          <cell r="D69">
            <v>-760374</v>
          </cell>
          <cell r="E69">
            <v>-10133533</v>
          </cell>
          <cell r="F69">
            <v>-10193841</v>
          </cell>
          <cell r="G69">
            <v>-1312578</v>
          </cell>
          <cell r="H69">
            <v>-18989649</v>
          </cell>
          <cell r="J69">
            <v>-22886</v>
          </cell>
          <cell r="K69">
            <v>0</v>
          </cell>
          <cell r="L69">
            <v>-148</v>
          </cell>
          <cell r="M69">
            <v>-24643</v>
          </cell>
          <cell r="N69">
            <v>0</v>
          </cell>
          <cell r="O69">
            <v>0</v>
          </cell>
          <cell r="P69">
            <v>-149178</v>
          </cell>
          <cell r="R69">
            <v>119735</v>
          </cell>
        </row>
        <row r="70">
          <cell r="A70">
            <v>38355</v>
          </cell>
          <cell r="B70">
            <v>-35824762</v>
          </cell>
          <cell r="C70">
            <v>-576228</v>
          </cell>
          <cell r="D70">
            <v>-757484</v>
          </cell>
          <cell r="E70">
            <v>-10158036</v>
          </cell>
          <cell r="F70">
            <v>-10193841</v>
          </cell>
          <cell r="G70">
            <v>-1312578</v>
          </cell>
          <cell r="H70">
            <v>-19173306</v>
          </cell>
          <cell r="J70">
            <v>-38638</v>
          </cell>
          <cell r="K70">
            <v>0</v>
          </cell>
          <cell r="L70">
            <v>2890</v>
          </cell>
          <cell r="M70">
            <v>-24503</v>
          </cell>
          <cell r="N70">
            <v>0</v>
          </cell>
          <cell r="O70">
            <v>0</v>
          </cell>
          <cell r="P70">
            <v>-183657</v>
          </cell>
          <cell r="R70">
            <v>172602</v>
          </cell>
        </row>
        <row r="71">
          <cell r="A71">
            <v>38386</v>
          </cell>
          <cell r="B71">
            <v>-35882470</v>
          </cell>
          <cell r="C71">
            <v>-576228</v>
          </cell>
          <cell r="D71">
            <v>-755065</v>
          </cell>
          <cell r="E71">
            <v>-10182547</v>
          </cell>
          <cell r="F71">
            <v>-10193841</v>
          </cell>
          <cell r="G71">
            <v>-1312578</v>
          </cell>
          <cell r="H71">
            <v>-19450611</v>
          </cell>
          <cell r="J71">
            <v>-57708</v>
          </cell>
          <cell r="K71">
            <v>0</v>
          </cell>
          <cell r="L71">
            <v>2419</v>
          </cell>
          <cell r="M71">
            <v>-24511</v>
          </cell>
          <cell r="N71">
            <v>0</v>
          </cell>
          <cell r="O71">
            <v>0</v>
          </cell>
          <cell r="P71">
            <v>-277305</v>
          </cell>
          <cell r="R71">
            <v>229801</v>
          </cell>
        </row>
        <row r="72">
          <cell r="A72">
            <v>38417</v>
          </cell>
          <cell r="B72">
            <v>-35938300</v>
          </cell>
          <cell r="C72">
            <v>-576228</v>
          </cell>
          <cell r="D72">
            <v>-760863</v>
          </cell>
          <cell r="E72">
            <v>-10206867</v>
          </cell>
          <cell r="F72">
            <v>-10193841</v>
          </cell>
          <cell r="G72">
            <v>-1312578</v>
          </cell>
          <cell r="H72">
            <v>-19724535</v>
          </cell>
          <cell r="J72">
            <v>-55830</v>
          </cell>
          <cell r="K72">
            <v>0</v>
          </cell>
          <cell r="L72">
            <v>-5798</v>
          </cell>
          <cell r="M72">
            <v>-24320</v>
          </cell>
          <cell r="N72">
            <v>0</v>
          </cell>
          <cell r="O72">
            <v>0</v>
          </cell>
          <cell r="P72">
            <v>-273924</v>
          </cell>
          <cell r="R72">
            <v>227383</v>
          </cell>
        </row>
        <row r="73">
          <cell r="A73">
            <v>38448</v>
          </cell>
          <cell r="B73">
            <v>-35980750</v>
          </cell>
          <cell r="C73">
            <v>-576228</v>
          </cell>
          <cell r="D73">
            <v>-783517</v>
          </cell>
          <cell r="E73">
            <v>-10231185</v>
          </cell>
          <cell r="F73">
            <v>-10193841</v>
          </cell>
          <cell r="G73">
            <v>-1312578</v>
          </cell>
          <cell r="H73">
            <v>-19979075</v>
          </cell>
          <cell r="J73">
            <v>-42450</v>
          </cell>
          <cell r="K73">
            <v>0</v>
          </cell>
          <cell r="L73">
            <v>-22654</v>
          </cell>
          <cell r="M73">
            <v>-24318</v>
          </cell>
          <cell r="N73">
            <v>0</v>
          </cell>
          <cell r="O73">
            <v>0</v>
          </cell>
          <cell r="P73">
            <v>-254540</v>
          </cell>
          <cell r="R73">
            <v>212905</v>
          </cell>
        </row>
        <row r="74">
          <cell r="A74">
            <v>38479</v>
          </cell>
          <cell r="B74">
            <v>-36045402</v>
          </cell>
          <cell r="C74">
            <v>-576228</v>
          </cell>
          <cell r="D74">
            <v>-786031</v>
          </cell>
          <cell r="E74">
            <v>-10255581</v>
          </cell>
          <cell r="F74">
            <v>-10193841</v>
          </cell>
          <cell r="G74">
            <v>-1312578</v>
          </cell>
          <cell r="H74">
            <v>-20153655</v>
          </cell>
          <cell r="J74">
            <v>-64652</v>
          </cell>
          <cell r="K74">
            <v>0</v>
          </cell>
          <cell r="L74">
            <v>-2514</v>
          </cell>
          <cell r="M74">
            <v>-24396</v>
          </cell>
          <cell r="N74">
            <v>0</v>
          </cell>
          <cell r="O74">
            <v>0</v>
          </cell>
          <cell r="P74">
            <v>-174580</v>
          </cell>
          <cell r="R74">
            <v>152498</v>
          </cell>
        </row>
        <row r="75">
          <cell r="A75">
            <v>38510</v>
          </cell>
          <cell r="B75">
            <v>-36084052</v>
          </cell>
          <cell r="C75">
            <v>-576228</v>
          </cell>
          <cell r="D75">
            <v>-791167</v>
          </cell>
          <cell r="E75">
            <v>-10279975</v>
          </cell>
          <cell r="F75">
            <v>-10193841</v>
          </cell>
          <cell r="G75">
            <v>-1312578</v>
          </cell>
          <cell r="H75">
            <v>-20280527</v>
          </cell>
          <cell r="J75">
            <v>-38650</v>
          </cell>
          <cell r="K75">
            <v>0</v>
          </cell>
          <cell r="L75">
            <v>-5136</v>
          </cell>
          <cell r="M75">
            <v>-24394</v>
          </cell>
          <cell r="N75">
            <v>0</v>
          </cell>
          <cell r="O75">
            <v>0</v>
          </cell>
          <cell r="P75">
            <v>-126872</v>
          </cell>
          <cell r="R75">
            <v>115135</v>
          </cell>
        </row>
        <row r="76">
          <cell r="A76">
            <v>38541</v>
          </cell>
          <cell r="B76">
            <v>-36101400.53</v>
          </cell>
          <cell r="C76">
            <v>-576228</v>
          </cell>
          <cell r="D76">
            <v>-789058</v>
          </cell>
          <cell r="E76">
            <v>-10304370</v>
          </cell>
          <cell r="F76">
            <v>-10193841</v>
          </cell>
          <cell r="G76">
            <v>-1312578</v>
          </cell>
          <cell r="H76">
            <v>-20368954</v>
          </cell>
          <cell r="J76">
            <v>-17348.530000001192</v>
          </cell>
          <cell r="K76">
            <v>0</v>
          </cell>
          <cell r="L76">
            <v>2109</v>
          </cell>
          <cell r="M76">
            <v>-24395</v>
          </cell>
          <cell r="N76">
            <v>0</v>
          </cell>
          <cell r="O76">
            <v>0</v>
          </cell>
          <cell r="P76">
            <v>-88427</v>
          </cell>
          <cell r="R76">
            <v>80458</v>
          </cell>
        </row>
        <row r="77">
          <cell r="A77">
            <v>38572</v>
          </cell>
          <cell r="B77">
            <v>-36112786</v>
          </cell>
          <cell r="C77">
            <v>-576228</v>
          </cell>
          <cell r="D77">
            <v>-797880</v>
          </cell>
          <cell r="E77">
            <v>-10328765</v>
          </cell>
          <cell r="F77">
            <v>-10193841</v>
          </cell>
          <cell r="G77">
            <v>-1312578</v>
          </cell>
          <cell r="H77">
            <v>-20441295</v>
          </cell>
          <cell r="J77">
            <v>-11385.469999998808</v>
          </cell>
          <cell r="K77">
            <v>0</v>
          </cell>
          <cell r="L77">
            <v>-8822</v>
          </cell>
          <cell r="M77">
            <v>-24395</v>
          </cell>
          <cell r="N77">
            <v>0</v>
          </cell>
          <cell r="O77">
            <v>0</v>
          </cell>
          <cell r="P77">
            <v>-72341</v>
          </cell>
          <cell r="R77">
            <v>68883</v>
          </cell>
        </row>
        <row r="78">
          <cell r="A78">
            <v>38603</v>
          </cell>
          <cell r="B78">
            <v>-36123455</v>
          </cell>
          <cell r="C78">
            <v>-576228</v>
          </cell>
          <cell r="D78">
            <v>-798360</v>
          </cell>
          <cell r="E78">
            <v>-10352814</v>
          </cell>
          <cell r="F78">
            <v>-10193841</v>
          </cell>
          <cell r="G78">
            <v>-1312578</v>
          </cell>
          <cell r="H78">
            <v>-20507903</v>
          </cell>
          <cell r="J78">
            <v>-10669</v>
          </cell>
          <cell r="K78">
            <v>0</v>
          </cell>
          <cell r="L78">
            <v>-480</v>
          </cell>
          <cell r="M78">
            <v>-24049</v>
          </cell>
          <cell r="N78">
            <v>0</v>
          </cell>
          <cell r="O78">
            <v>0</v>
          </cell>
          <cell r="P78">
            <v>-66608</v>
          </cell>
          <cell r="R78">
            <v>72935</v>
          </cell>
        </row>
        <row r="79">
          <cell r="A79">
            <v>38634</v>
          </cell>
          <cell r="B79">
            <v>-36133929</v>
          </cell>
          <cell r="C79">
            <v>-576228</v>
          </cell>
          <cell r="D79">
            <v>-803587</v>
          </cell>
          <cell r="E79">
            <v>-10376884</v>
          </cell>
          <cell r="F79">
            <v>-10193841</v>
          </cell>
          <cell r="G79">
            <v>-1312578</v>
          </cell>
          <cell r="H79">
            <v>-20599189</v>
          </cell>
          <cell r="J79">
            <v>-10474</v>
          </cell>
          <cell r="L79">
            <v>-5227</v>
          </cell>
          <cell r="M79">
            <v>-24070</v>
          </cell>
          <cell r="N79">
            <v>0</v>
          </cell>
          <cell r="O79">
            <v>0</v>
          </cell>
          <cell r="P79">
            <v>-91286</v>
          </cell>
          <cell r="R79">
            <v>74538</v>
          </cell>
        </row>
        <row r="80">
          <cell r="A80">
            <v>38665</v>
          </cell>
          <cell r="B80">
            <v>-36149577</v>
          </cell>
          <cell r="C80">
            <v>-576228</v>
          </cell>
          <cell r="D80">
            <v>-812077</v>
          </cell>
          <cell r="E80">
            <v>-10400943</v>
          </cell>
          <cell r="F80">
            <v>-10193841</v>
          </cell>
          <cell r="G80">
            <v>-1312578</v>
          </cell>
          <cell r="H80">
            <v>-20696233</v>
          </cell>
          <cell r="J80">
            <v>-15648</v>
          </cell>
          <cell r="L80">
            <v>-8490</v>
          </cell>
          <cell r="M80">
            <v>-24059</v>
          </cell>
          <cell r="N80">
            <v>0</v>
          </cell>
          <cell r="O80">
            <v>0</v>
          </cell>
          <cell r="P80">
            <v>-97044</v>
          </cell>
          <cell r="R80">
            <v>78551</v>
          </cell>
        </row>
        <row r="81">
          <cell r="A81">
            <v>38696</v>
          </cell>
          <cell r="B81">
            <v>-36193103</v>
          </cell>
          <cell r="C81">
            <v>-576228</v>
          </cell>
          <cell r="D81">
            <v>-813272</v>
          </cell>
          <cell r="E81">
            <v>-10424477</v>
          </cell>
          <cell r="F81">
            <v>-10193841</v>
          </cell>
          <cell r="G81">
            <v>-1312578</v>
          </cell>
          <cell r="H81">
            <v>-20846534</v>
          </cell>
          <cell r="J81">
            <v>-43526</v>
          </cell>
          <cell r="L81">
            <v>-1195</v>
          </cell>
          <cell r="M81">
            <v>-23534</v>
          </cell>
          <cell r="N81">
            <v>0</v>
          </cell>
          <cell r="O81">
            <v>0</v>
          </cell>
          <cell r="P81">
            <v>-150301</v>
          </cell>
          <cell r="R81">
            <v>113487</v>
          </cell>
        </row>
        <row r="82">
          <cell r="A82">
            <v>38727</v>
          </cell>
          <cell r="B82">
            <v>-36271892</v>
          </cell>
          <cell r="C82">
            <v>-576228</v>
          </cell>
          <cell r="D82">
            <v>-832726</v>
          </cell>
          <cell r="E82">
            <v>-10448010</v>
          </cell>
          <cell r="F82">
            <v>-10193841</v>
          </cell>
          <cell r="G82">
            <v>-1312578</v>
          </cell>
          <cell r="H82">
            <v>-21089974</v>
          </cell>
          <cell r="J82">
            <v>-78789</v>
          </cell>
          <cell r="L82">
            <v>-19454</v>
          </cell>
          <cell r="M82">
            <v>-23533</v>
          </cell>
          <cell r="N82">
            <v>0</v>
          </cell>
          <cell r="O82">
            <v>0</v>
          </cell>
          <cell r="P82">
            <v>-243440</v>
          </cell>
          <cell r="R82">
            <v>182819</v>
          </cell>
        </row>
        <row r="83">
          <cell r="A83">
            <v>38758</v>
          </cell>
          <cell r="B83">
            <v>-36363602</v>
          </cell>
          <cell r="C83">
            <v>-576228</v>
          </cell>
          <cell r="D83">
            <v>-830773</v>
          </cell>
          <cell r="E83">
            <v>-10474129</v>
          </cell>
          <cell r="F83">
            <v>-10193841</v>
          </cell>
          <cell r="G83">
            <v>-1312578</v>
          </cell>
          <cell r="H83">
            <v>-21334534</v>
          </cell>
          <cell r="J83">
            <v>-91710</v>
          </cell>
          <cell r="L83">
            <v>1953</v>
          </cell>
          <cell r="M83">
            <v>-26119</v>
          </cell>
          <cell r="N83">
            <v>0</v>
          </cell>
          <cell r="O83">
            <v>0</v>
          </cell>
          <cell r="P83">
            <v>-244560</v>
          </cell>
          <cell r="R83">
            <v>190343</v>
          </cell>
        </row>
        <row r="84">
          <cell r="A84">
            <v>38789</v>
          </cell>
          <cell r="B84">
            <v>-36450716</v>
          </cell>
          <cell r="C84">
            <v>-576228</v>
          </cell>
          <cell r="D84">
            <v>-824294</v>
          </cell>
          <cell r="E84">
            <v>-10500253</v>
          </cell>
          <cell r="F84">
            <v>-10193841</v>
          </cell>
          <cell r="G84">
            <v>-1312578</v>
          </cell>
          <cell r="H84">
            <v>-21566940</v>
          </cell>
          <cell r="J84">
            <v>-87114</v>
          </cell>
          <cell r="L84">
            <v>6479</v>
          </cell>
          <cell r="M84">
            <v>-26124</v>
          </cell>
          <cell r="N84">
            <v>0</v>
          </cell>
          <cell r="O84">
            <v>0</v>
          </cell>
          <cell r="P84">
            <v>-232406</v>
          </cell>
          <cell r="R84">
            <v>174879</v>
          </cell>
        </row>
        <row r="85">
          <cell r="A85">
            <v>38820</v>
          </cell>
          <cell r="B85">
            <v>-36536538</v>
          </cell>
          <cell r="C85">
            <v>-576228</v>
          </cell>
          <cell r="D85">
            <v>-823699</v>
          </cell>
          <cell r="E85">
            <v>-10526534</v>
          </cell>
          <cell r="F85">
            <v>-10193841</v>
          </cell>
          <cell r="G85">
            <v>-1312578</v>
          </cell>
          <cell r="H85">
            <v>-21792761</v>
          </cell>
          <cell r="J85">
            <v>-85822</v>
          </cell>
          <cell r="L85">
            <v>595</v>
          </cell>
          <cell r="M85">
            <v>-26281</v>
          </cell>
          <cell r="N85">
            <v>0</v>
          </cell>
          <cell r="O85">
            <v>0</v>
          </cell>
          <cell r="P85">
            <v>-225821</v>
          </cell>
          <cell r="R85">
            <v>178531</v>
          </cell>
        </row>
        <row r="86">
          <cell r="A86">
            <v>38851</v>
          </cell>
          <cell r="B86">
            <v>-36597953.1</v>
          </cell>
          <cell r="C86">
            <v>-576228</v>
          </cell>
          <cell r="D86">
            <v>-856929.1</v>
          </cell>
          <cell r="E86">
            <v>-10552728.51</v>
          </cell>
          <cell r="F86">
            <v>-10193841</v>
          </cell>
          <cell r="G86">
            <v>-1312578</v>
          </cell>
          <cell r="H86">
            <v>-21945988.27</v>
          </cell>
          <cell r="J86">
            <v>-61415.10000000149</v>
          </cell>
          <cell r="L86">
            <v>-33230.09999999998</v>
          </cell>
          <cell r="M86">
            <v>-26194.509999999776</v>
          </cell>
          <cell r="N86">
            <v>0</v>
          </cell>
          <cell r="O86">
            <v>0</v>
          </cell>
          <cell r="P86">
            <v>-153227.26999999955</v>
          </cell>
          <cell r="R86">
            <v>134423</v>
          </cell>
        </row>
        <row r="87">
          <cell r="A87">
            <v>38882</v>
          </cell>
          <cell r="B87">
            <v>-36622250.49</v>
          </cell>
          <cell r="C87">
            <v>-576228</v>
          </cell>
          <cell r="D87">
            <v>-858534.12</v>
          </cell>
          <cell r="E87">
            <v>-10578922.97</v>
          </cell>
          <cell r="F87">
            <v>-10193841</v>
          </cell>
          <cell r="G87">
            <v>-1312578</v>
          </cell>
          <cell r="H87">
            <v>-22049978.01</v>
          </cell>
          <cell r="J87">
            <v>-24297.390000000596</v>
          </cell>
          <cell r="L87">
            <v>-1605.0200000000186</v>
          </cell>
          <cell r="M87">
            <v>-26194.460000000894</v>
          </cell>
          <cell r="N87">
            <v>0</v>
          </cell>
          <cell r="O87">
            <v>0</v>
          </cell>
          <cell r="P87">
            <v>-103989.74000000209</v>
          </cell>
          <cell r="R87">
            <v>95452</v>
          </cell>
        </row>
        <row r="88">
          <cell r="A88">
            <v>38913</v>
          </cell>
          <cell r="B88">
            <v>-36640336.07</v>
          </cell>
          <cell r="C88">
            <v>-576228</v>
          </cell>
          <cell r="D88">
            <v>-864795.56</v>
          </cell>
          <cell r="E88">
            <v>-10605117.43</v>
          </cell>
          <cell r="F88">
            <v>-10193841</v>
          </cell>
          <cell r="G88">
            <v>-1312578</v>
          </cell>
          <cell r="H88">
            <v>-22139371.88</v>
          </cell>
          <cell r="J88">
            <v>-189620.0700000003</v>
          </cell>
          <cell r="L88">
            <v>-40501.560000000056</v>
          </cell>
          <cell r="M88">
            <v>-104864.4299999997</v>
          </cell>
          <cell r="N88">
            <v>0</v>
          </cell>
          <cell r="O88">
            <v>0</v>
          </cell>
          <cell r="P88">
            <v>-572431.879999999</v>
          </cell>
          <cell r="R88">
            <v>78352</v>
          </cell>
        </row>
        <row r="89">
          <cell r="A89">
            <v>38944</v>
          </cell>
          <cell r="B89">
            <v>-36655275.2</v>
          </cell>
          <cell r="C89">
            <v>-576228</v>
          </cell>
          <cell r="D89">
            <v>-866811.5</v>
          </cell>
          <cell r="E89">
            <v>-10631314.18</v>
          </cell>
          <cell r="F89">
            <v>-10193841</v>
          </cell>
          <cell r="G89">
            <v>-1312578</v>
          </cell>
          <cell r="H89">
            <v>-22213463.49</v>
          </cell>
          <cell r="J89">
            <v>-14939.130000002682</v>
          </cell>
          <cell r="L89">
            <v>-2015.9399999999441</v>
          </cell>
          <cell r="M89">
            <v>-26196.75</v>
          </cell>
          <cell r="N89">
            <v>0</v>
          </cell>
          <cell r="O89">
            <v>0</v>
          </cell>
          <cell r="P89">
            <v>-74091.6099999994</v>
          </cell>
          <cell r="R89">
            <v>66465</v>
          </cell>
        </row>
        <row r="90">
          <cell r="A90">
            <v>38975</v>
          </cell>
          <cell r="B90">
            <v>-36669845</v>
          </cell>
          <cell r="C90">
            <v>-576228</v>
          </cell>
          <cell r="D90">
            <v>-873988.58</v>
          </cell>
          <cell r="E90">
            <v>-10657510.93</v>
          </cell>
          <cell r="F90">
            <v>-10193841</v>
          </cell>
          <cell r="G90">
            <v>-1312578</v>
          </cell>
          <cell r="H90">
            <v>-22288178.99</v>
          </cell>
          <cell r="J90">
            <v>-14569.79999999702</v>
          </cell>
          <cell r="L90">
            <v>-7177.079999999958</v>
          </cell>
          <cell r="M90">
            <v>-26196.75</v>
          </cell>
          <cell r="N90">
            <v>0</v>
          </cell>
          <cell r="O90">
            <v>0</v>
          </cell>
          <cell r="P90">
            <v>-74715.5</v>
          </cell>
          <cell r="R90">
            <v>68429</v>
          </cell>
        </row>
        <row r="91">
          <cell r="A91">
            <v>39006</v>
          </cell>
          <cell r="B91">
            <v>-36686605.56</v>
          </cell>
          <cell r="C91">
            <v>-576228</v>
          </cell>
          <cell r="D91">
            <v>-879579.95</v>
          </cell>
          <cell r="E91">
            <v>-10683706.4</v>
          </cell>
          <cell r="F91">
            <v>-10193841</v>
          </cell>
          <cell r="G91">
            <v>-1312578</v>
          </cell>
          <cell r="H91">
            <v>-22365404.41</v>
          </cell>
          <cell r="J91">
            <v>-16760.560000002384</v>
          </cell>
          <cell r="L91">
            <v>-5591.369999999995</v>
          </cell>
          <cell r="M91">
            <v>-26195.47000000067</v>
          </cell>
          <cell r="P91">
            <v>-77225.42000000179</v>
          </cell>
          <cell r="R91">
            <v>70309</v>
          </cell>
        </row>
        <row r="92">
          <cell r="A92">
            <v>39037</v>
          </cell>
          <cell r="J92">
            <v>-53794.7</v>
          </cell>
          <cell r="L92">
            <v>-8746.93</v>
          </cell>
          <cell r="M92">
            <v>-21745.24</v>
          </cell>
          <cell r="P92">
            <v>-104262.58</v>
          </cell>
          <cell r="R92">
            <v>96344</v>
          </cell>
        </row>
        <row r="93">
          <cell r="A93">
            <v>39068</v>
          </cell>
          <cell r="J93">
            <v>-56877.6</v>
          </cell>
          <cell r="L93">
            <v>-4003.02</v>
          </cell>
          <cell r="M93">
            <v>-21745.24</v>
          </cell>
          <cell r="P93">
            <v>-160838.03</v>
          </cell>
          <cell r="R93">
            <v>126840</v>
          </cell>
        </row>
        <row r="94">
          <cell r="A94">
            <v>39099</v>
          </cell>
          <cell r="J94">
            <v>-75175.83</v>
          </cell>
          <cell r="L94">
            <v>-80544.71000000008</v>
          </cell>
          <cell r="M94">
            <v>-16488.97</v>
          </cell>
          <cell r="P94">
            <v>-189458.11</v>
          </cell>
          <cell r="R94">
            <v>151158</v>
          </cell>
        </row>
        <row r="95">
          <cell r="A95">
            <v>39130</v>
          </cell>
          <cell r="J95">
            <v>-87237.06</v>
          </cell>
          <cell r="L95">
            <v>-474.6900000000005</v>
          </cell>
          <cell r="M95">
            <v>-16372.09</v>
          </cell>
          <cell r="P95">
            <v>-206837.91999999998</v>
          </cell>
          <cell r="R95">
            <v>178602</v>
          </cell>
        </row>
        <row r="96">
          <cell r="A96">
            <v>39161</v>
          </cell>
          <cell r="J96">
            <v>-126608.11</v>
          </cell>
          <cell r="L96">
            <v>1700.86</v>
          </cell>
          <cell r="M96">
            <v>-13063.95</v>
          </cell>
          <cell r="P96">
            <v>-277593.58</v>
          </cell>
          <cell r="R96">
            <v>231151</v>
          </cell>
        </row>
        <row r="97">
          <cell r="A97">
            <v>39192</v>
          </cell>
          <cell r="J97">
            <v>-112523.22</v>
          </cell>
          <cell r="L97">
            <v>60071.94</v>
          </cell>
          <cell r="M97">
            <v>-13064.07</v>
          </cell>
          <cell r="P97">
            <v>-227150.62</v>
          </cell>
          <cell r="R97">
            <v>198438</v>
          </cell>
        </row>
        <row r="98">
          <cell r="A98">
            <v>39223</v>
          </cell>
          <cell r="J98">
            <v>-69365.09</v>
          </cell>
          <cell r="L98">
            <v>-16082.32</v>
          </cell>
          <cell r="M98">
            <v>-13043.33</v>
          </cell>
          <cell r="P98">
            <v>-163519.18</v>
          </cell>
          <cell r="R98">
            <v>143950</v>
          </cell>
        </row>
        <row r="99">
          <cell r="A99">
            <v>39254</v>
          </cell>
          <cell r="J99">
            <v>-30379.09</v>
          </cell>
          <cell r="L99">
            <v>-8104.36</v>
          </cell>
          <cell r="M99">
            <v>-13032.21</v>
          </cell>
          <cell r="P99">
            <v>-106682.17</v>
          </cell>
          <cell r="R99">
            <v>96965</v>
          </cell>
        </row>
        <row r="100">
          <cell r="A100">
            <v>39285</v>
          </cell>
          <cell r="J100">
            <v>-17154.37</v>
          </cell>
          <cell r="L100">
            <v>-4286.36</v>
          </cell>
          <cell r="M100">
            <v>-13032.21</v>
          </cell>
          <cell r="P100">
            <v>-77694.05</v>
          </cell>
          <cell r="R100">
            <v>70195</v>
          </cell>
        </row>
        <row r="101">
          <cell r="A101">
            <v>39316</v>
          </cell>
          <cell r="J101">
            <v>-13614.369999999999</v>
          </cell>
          <cell r="L101">
            <v>-2066.040000000001</v>
          </cell>
          <cell r="M101">
            <v>-13032.21</v>
          </cell>
          <cell r="P101">
            <v>-66761.48000000001</v>
          </cell>
          <cell r="R101">
            <v>63942</v>
          </cell>
        </row>
        <row r="102">
          <cell r="A102">
            <v>39347</v>
          </cell>
          <cell r="J102">
            <v>-14023.22</v>
          </cell>
          <cell r="L102">
            <v>-9287.67</v>
          </cell>
          <cell r="M102">
            <v>-13032.21</v>
          </cell>
          <cell r="P102">
            <v>-73560.81</v>
          </cell>
          <cell r="R102">
            <v>66397</v>
          </cell>
        </row>
        <row r="103">
          <cell r="A103">
            <v>39378</v>
          </cell>
          <cell r="J103">
            <v>-16094.090000000002</v>
          </cell>
          <cell r="L103">
            <v>-365.35</v>
          </cell>
          <cell r="M103">
            <v>-13032.21</v>
          </cell>
          <cell r="P103">
            <v>-74458.18</v>
          </cell>
          <cell r="R103">
            <v>68763</v>
          </cell>
        </row>
        <row r="104">
          <cell r="A104">
            <v>39409</v>
          </cell>
          <cell r="J104">
            <v>-24136.38</v>
          </cell>
          <cell r="L104">
            <v>-8721.23</v>
          </cell>
          <cell r="M104">
            <v>-13032.21</v>
          </cell>
          <cell r="P104">
            <v>-82819.15</v>
          </cell>
          <cell r="R104">
            <v>75203</v>
          </cell>
        </row>
        <row r="105">
          <cell r="A105">
            <v>39440</v>
          </cell>
          <cell r="J105">
            <v>-52511.7</v>
          </cell>
          <cell r="L105">
            <v>4223.59</v>
          </cell>
          <cell r="M105">
            <v>-12980.73</v>
          </cell>
          <cell r="P105">
            <v>-139031.74</v>
          </cell>
          <cell r="R105">
            <v>114477</v>
          </cell>
        </row>
        <row r="106">
          <cell r="A106">
            <v>39471</v>
          </cell>
          <cell r="J106">
            <v>-105344.73</v>
          </cell>
          <cell r="L106">
            <v>-1739.8</v>
          </cell>
          <cell r="M106">
            <v>-12980.73</v>
          </cell>
          <cell r="P106">
            <v>-207772.45</v>
          </cell>
          <cell r="R106">
            <v>171808</v>
          </cell>
        </row>
        <row r="107">
          <cell r="A107">
            <v>39502</v>
          </cell>
          <cell r="J107">
            <v>-135123.39</v>
          </cell>
          <cell r="L107">
            <v>-3990.96</v>
          </cell>
          <cell r="M107">
            <v>-12003.27</v>
          </cell>
          <cell r="P107">
            <v>-240642.91</v>
          </cell>
          <cell r="R107">
            <v>92664</v>
          </cell>
        </row>
        <row r="108">
          <cell r="A108">
            <v>39533</v>
          </cell>
          <cell r="J108">
            <v>-147736.35</v>
          </cell>
          <cell r="L108">
            <v>-41314.49</v>
          </cell>
          <cell r="M108">
            <v>-12025.72</v>
          </cell>
          <cell r="P108">
            <v>-252697.82</v>
          </cell>
          <cell r="R108">
            <v>94646</v>
          </cell>
        </row>
        <row r="109">
          <cell r="A109">
            <v>39564</v>
          </cell>
          <cell r="J109">
            <v>-139624.46</v>
          </cell>
          <cell r="L109">
            <v>-11082.09</v>
          </cell>
          <cell r="M109">
            <v>-11162.22</v>
          </cell>
          <cell r="P109">
            <v>-238909.33</v>
          </cell>
          <cell r="R109">
            <v>88295</v>
          </cell>
        </row>
        <row r="110">
          <cell r="A110">
            <v>39595</v>
          </cell>
          <cell r="J110">
            <v>-96675.82</v>
          </cell>
          <cell r="L110">
            <v>-35639.61</v>
          </cell>
          <cell r="M110">
            <v>-6782.24</v>
          </cell>
          <cell r="P110">
            <v>-168248.26</v>
          </cell>
          <cell r="R110">
            <v>69816</v>
          </cell>
        </row>
        <row r="111">
          <cell r="A111">
            <v>39626</v>
          </cell>
          <cell r="J111">
            <v>-42979.29</v>
          </cell>
          <cell r="L111">
            <v>21854.92</v>
          </cell>
          <cell r="M111">
            <v>-9684.24</v>
          </cell>
          <cell r="P111">
            <v>-98850.5</v>
          </cell>
          <cell r="R111">
            <v>55693</v>
          </cell>
        </row>
        <row r="112">
          <cell r="A112">
            <v>39657</v>
          </cell>
          <cell r="J112">
            <v>-22141.83</v>
          </cell>
          <cell r="L112">
            <v>-21120.29</v>
          </cell>
          <cell r="M112">
            <v>-12048.05</v>
          </cell>
          <cell r="P112">
            <v>-79131.74</v>
          </cell>
          <cell r="R112">
            <v>49225</v>
          </cell>
        </row>
        <row r="113">
          <cell r="A113">
            <v>39688</v>
          </cell>
          <cell r="J113">
            <v>-16643.09</v>
          </cell>
          <cell r="L113">
            <v>-8111.95</v>
          </cell>
          <cell r="M113">
            <v>-12266.09</v>
          </cell>
          <cell r="P113">
            <v>-65774.13</v>
          </cell>
          <cell r="R113">
            <v>40229</v>
          </cell>
        </row>
        <row r="114">
          <cell r="A114">
            <v>39719</v>
          </cell>
          <cell r="J114">
            <v>-13668.11</v>
          </cell>
          <cell r="L114">
            <v>-38502.91</v>
          </cell>
          <cell r="M114">
            <v>-11421.39</v>
          </cell>
          <cell r="P114">
            <v>-67772.64</v>
          </cell>
          <cell r="R114">
            <v>41877</v>
          </cell>
        </row>
        <row r="115">
          <cell r="A115">
            <v>39750</v>
          </cell>
          <cell r="J115">
            <v>-15325.36</v>
          </cell>
          <cell r="L115">
            <v>-945.07</v>
          </cell>
          <cell r="M115">
            <v>-11425.85</v>
          </cell>
          <cell r="P115">
            <v>-69870.25</v>
          </cell>
          <cell r="R115">
            <v>45357</v>
          </cell>
        </row>
        <row r="116">
          <cell r="A116">
            <v>39781</v>
          </cell>
          <cell r="J116">
            <v>-30248.41</v>
          </cell>
          <cell r="L116">
            <v>-2731.68</v>
          </cell>
          <cell r="M116">
            <v>-11420.23</v>
          </cell>
          <cell r="P116">
            <v>-80517.19</v>
          </cell>
          <cell r="R116">
            <v>51557</v>
          </cell>
        </row>
        <row r="117">
          <cell r="A117">
            <v>39812</v>
          </cell>
          <cell r="J117">
            <v>-63584.44</v>
          </cell>
          <cell r="L117">
            <v>-6859.13</v>
          </cell>
          <cell r="M117">
            <v>-11490.82</v>
          </cell>
          <cell r="P117">
            <v>-142701.28</v>
          </cell>
          <cell r="R117">
            <v>59698</v>
          </cell>
        </row>
        <row r="118">
          <cell r="A118">
            <v>39843</v>
          </cell>
          <cell r="J118">
            <v>-118772.67</v>
          </cell>
          <cell r="L118">
            <v>-49245.42</v>
          </cell>
          <cell r="M118">
            <v>-11152.52</v>
          </cell>
          <cell r="P118">
            <v>-220888.95</v>
          </cell>
          <cell r="R118">
            <v>74240</v>
          </cell>
        </row>
      </sheetData>
      <sheetData sheetId="30">
        <row r="6">
          <cell r="C6" t="str">
            <v>N</v>
          </cell>
          <cell r="D6">
            <v>1</v>
          </cell>
        </row>
        <row r="7">
          <cell r="C7" t="str">
            <v>N</v>
          </cell>
          <cell r="D7">
            <v>2</v>
          </cell>
        </row>
        <row r="8">
          <cell r="C8" t="str">
            <v>N</v>
          </cell>
          <cell r="D8">
            <v>3</v>
          </cell>
        </row>
        <row r="9">
          <cell r="C9" t="str">
            <v>N</v>
          </cell>
          <cell r="D9">
            <v>4</v>
          </cell>
        </row>
        <row r="10">
          <cell r="C10" t="str">
            <v>Y</v>
          </cell>
          <cell r="D10">
            <v>4</v>
          </cell>
        </row>
        <row r="11">
          <cell r="C11" t="str">
            <v>Y</v>
          </cell>
          <cell r="D11">
            <v>4</v>
          </cell>
        </row>
        <row r="12">
          <cell r="C12" t="str">
            <v>Y</v>
          </cell>
          <cell r="D12">
            <v>4</v>
          </cell>
        </row>
        <row r="13">
          <cell r="C13" t="str">
            <v>Y</v>
          </cell>
          <cell r="D13">
            <v>4</v>
          </cell>
        </row>
        <row r="14">
          <cell r="C14" t="str">
            <v>N</v>
          </cell>
          <cell r="D14">
            <v>5</v>
          </cell>
        </row>
        <row r="15">
          <cell r="C15" t="str">
            <v>Y</v>
          </cell>
          <cell r="D15">
            <v>5</v>
          </cell>
        </row>
        <row r="16">
          <cell r="C16" t="str">
            <v>N</v>
          </cell>
          <cell r="D1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7"/>
  <sheetViews>
    <sheetView tabSelected="1" workbookViewId="0" topLeftCell="A1">
      <selection activeCell="F12" sqref="F12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6.57421875" style="4" customWidth="1"/>
    <col min="4" max="4" width="9.7109375" style="4" customWidth="1"/>
    <col min="5" max="5" width="8.421875" style="4" customWidth="1"/>
    <col min="6" max="6" width="14.00390625" style="19" bestFit="1" customWidth="1"/>
    <col min="7" max="7" width="9.140625" style="4" customWidth="1"/>
    <col min="8" max="8" width="4.8515625" style="4" customWidth="1"/>
    <col min="9" max="16384" width="9.140625" style="4" customWidth="1"/>
  </cols>
  <sheetData>
    <row r="1" spans="1:6" ht="12.75" customHeight="1">
      <c r="A1" s="1" t="s">
        <v>0</v>
      </c>
      <c r="B1" s="2"/>
      <c r="C1" s="2"/>
      <c r="D1" s="2"/>
      <c r="E1" s="2"/>
      <c r="F1" s="3"/>
    </row>
    <row r="3" spans="1:6" ht="12.75" customHeight="1">
      <c r="A3" s="5" t="s">
        <v>1</v>
      </c>
      <c r="B3" s="1"/>
      <c r="C3" s="1"/>
      <c r="D3" s="1"/>
      <c r="E3" s="1"/>
      <c r="F3" s="6"/>
    </row>
    <row r="4" spans="1:6" ht="12.75" customHeight="1">
      <c r="A4" s="5"/>
      <c r="B4" s="1"/>
      <c r="C4" s="1"/>
      <c r="D4" s="1"/>
      <c r="E4" s="1"/>
      <c r="F4" s="6"/>
    </row>
    <row r="5" spans="1:6" ht="12.75" customHeight="1">
      <c r="A5" s="7" t="s">
        <v>2</v>
      </c>
      <c r="B5" s="2"/>
      <c r="C5" s="2"/>
      <c r="D5" s="2"/>
      <c r="E5" s="2"/>
      <c r="F5" s="3"/>
    </row>
    <row r="6" spans="1:6" ht="12.75" customHeight="1">
      <c r="A6" s="8"/>
      <c r="B6" s="9"/>
      <c r="C6" s="9"/>
      <c r="D6" s="9"/>
      <c r="E6" s="9"/>
      <c r="F6" s="10"/>
    </row>
    <row r="7" spans="1:10" ht="12.75" customHeight="1">
      <c r="A7" s="9" t="s">
        <v>3</v>
      </c>
      <c r="B7" s="9"/>
      <c r="C7" s="9"/>
      <c r="D7" s="11" t="s">
        <v>4</v>
      </c>
      <c r="E7" s="12" t="s">
        <v>5</v>
      </c>
      <c r="F7" s="13" t="s">
        <v>6</v>
      </c>
      <c r="H7" s="180"/>
      <c r="I7" s="180"/>
      <c r="J7" s="180"/>
    </row>
    <row r="8" spans="2:14" ht="12.75" customHeight="1">
      <c r="B8" s="4" t="s">
        <v>7</v>
      </c>
      <c r="D8" s="14">
        <f>F8</f>
        <v>5.901400000000001</v>
      </c>
      <c r="E8" s="15" t="s">
        <v>8</v>
      </c>
      <c r="F8" s="16">
        <f>F25</f>
        <v>5.901400000000001</v>
      </c>
      <c r="H8" s="180"/>
      <c r="I8" s="180"/>
      <c r="J8" s="180"/>
      <c r="N8" s="17"/>
    </row>
    <row r="9" spans="2:14" ht="12.75" customHeight="1">
      <c r="B9" s="4" t="s">
        <v>9</v>
      </c>
      <c r="D9" s="14">
        <f>+'[1]Summ Work'!D9</f>
        <v>-0.0132</v>
      </c>
      <c r="E9" s="15"/>
      <c r="F9" s="16"/>
      <c r="H9" s="180"/>
      <c r="I9" s="180"/>
      <c r="J9" s="180"/>
      <c r="N9" s="17"/>
    </row>
    <row r="10" spans="2:10" ht="12.75" customHeight="1">
      <c r="B10" s="4" t="s">
        <v>10</v>
      </c>
      <c r="D10" s="14"/>
      <c r="E10" s="15" t="s">
        <v>8</v>
      </c>
      <c r="F10" s="16">
        <f>F33</f>
        <v>-0.0052</v>
      </c>
      <c r="H10" s="180"/>
      <c r="I10" s="181"/>
      <c r="J10" s="180"/>
    </row>
    <row r="11" spans="2:10" ht="12.75" customHeight="1" thickBot="1">
      <c r="B11" s="4" t="s">
        <v>11</v>
      </c>
      <c r="D11" s="14"/>
      <c r="E11" s="15" t="s">
        <v>8</v>
      </c>
      <c r="F11" s="16">
        <f>F41</f>
        <v>0.8797000000000001</v>
      </c>
      <c r="H11" s="180"/>
      <c r="I11" s="180"/>
      <c r="J11" s="180"/>
    </row>
    <row r="12" spans="1:10" ht="12.75" customHeight="1" thickBot="1">
      <c r="A12" s="4" t="s">
        <v>12</v>
      </c>
      <c r="D12" s="18">
        <f>SUM(D8:D11)</f>
        <v>5.8882</v>
      </c>
      <c r="E12" s="15" t="s">
        <v>8</v>
      </c>
      <c r="F12" s="18">
        <f>SUM(F8:F11)</f>
        <v>6.7759</v>
      </c>
      <c r="H12" s="180"/>
      <c r="I12" s="180"/>
      <c r="J12" s="180"/>
    </row>
    <row r="13" spans="8:10" ht="12.75" customHeight="1">
      <c r="H13" s="180"/>
      <c r="I13" s="182"/>
      <c r="J13" s="180"/>
    </row>
    <row r="14" spans="2:10" ht="12.75" customHeight="1">
      <c r="B14" s="15" t="s">
        <v>13</v>
      </c>
      <c r="C14" s="15"/>
      <c r="D14" s="20">
        <f>'[1]Instruct &amp; Input'!C52</f>
        <v>39932</v>
      </c>
      <c r="E14" s="15" t="s">
        <v>14</v>
      </c>
      <c r="F14" s="21">
        <f>'[1]Instruct &amp; Input'!E10</f>
        <v>39961</v>
      </c>
      <c r="H14" s="180"/>
      <c r="I14" s="180"/>
      <c r="J14" s="180"/>
    </row>
    <row r="15" spans="8:10" ht="12.75" customHeight="1">
      <c r="H15" s="180"/>
      <c r="I15" s="180"/>
      <c r="J15" s="180"/>
    </row>
    <row r="16" spans="1:10" ht="12.75" customHeight="1">
      <c r="A16" s="9" t="s">
        <v>15</v>
      </c>
      <c r="B16" s="9"/>
      <c r="C16" s="9"/>
      <c r="D16" s="9"/>
      <c r="E16" s="9"/>
      <c r="F16" s="22"/>
      <c r="H16" s="180"/>
      <c r="I16" s="180"/>
      <c r="J16" s="180"/>
    </row>
    <row r="17" spans="1:10" ht="12.75" customHeight="1">
      <c r="A17" s="9" t="s">
        <v>3</v>
      </c>
      <c r="B17" s="9"/>
      <c r="C17" s="9"/>
      <c r="D17" s="9"/>
      <c r="E17" s="12" t="s">
        <v>5</v>
      </c>
      <c r="F17" s="13" t="s">
        <v>6</v>
      </c>
      <c r="H17" s="180"/>
      <c r="I17" s="183"/>
      <c r="J17" s="180"/>
    </row>
    <row r="18" spans="2:10" ht="12.75" customHeight="1">
      <c r="B18" s="4" t="s">
        <v>16</v>
      </c>
      <c r="E18" s="15" t="s">
        <v>17</v>
      </c>
      <c r="F18" s="23">
        <f>'Sched 1 File'!D42</f>
        <v>125833312</v>
      </c>
      <c r="H18" s="180"/>
      <c r="I18" s="180"/>
      <c r="J18" s="180"/>
    </row>
    <row r="19" spans="2:10" ht="12.75" customHeight="1">
      <c r="B19" s="4" t="s">
        <v>18</v>
      </c>
      <c r="E19" s="15" t="s">
        <v>19</v>
      </c>
      <c r="F19" s="24">
        <f>('[1]Sales &amp; CHOICE Volumes'!B51)+('[1]Sales &amp; CHOICE Volumes'!D51)</f>
        <v>85391000</v>
      </c>
      <c r="H19" s="180"/>
      <c r="I19" s="183"/>
      <c r="J19" s="180"/>
    </row>
    <row r="20" spans="2:10" ht="12.75" customHeight="1">
      <c r="B20" s="4" t="s">
        <v>20</v>
      </c>
      <c r="E20" s="15" t="s">
        <v>8</v>
      </c>
      <c r="F20" s="25">
        <f>ROUND(F18/F19,4)</f>
        <v>1.4736</v>
      </c>
      <c r="H20" s="180"/>
      <c r="I20" s="183"/>
      <c r="J20" s="180"/>
    </row>
    <row r="21" spans="2:6" ht="12.75" customHeight="1">
      <c r="B21" s="4" t="s">
        <v>21</v>
      </c>
      <c r="E21" s="15" t="s">
        <v>17</v>
      </c>
      <c r="F21" s="23">
        <f>SUM('Sched 1 File'!E42:F42)</f>
        <v>378094885</v>
      </c>
    </row>
    <row r="22" spans="2:6" ht="12.75" customHeight="1">
      <c r="B22" s="4" t="s">
        <v>22</v>
      </c>
      <c r="E22" s="15" t="s">
        <v>19</v>
      </c>
      <c r="F22" s="24">
        <f>('[1]Sales &amp; CHOICE Volumes'!B51)+('[1]Sales &amp; CHOICE Volumes'!D51)</f>
        <v>85391000</v>
      </c>
    </row>
    <row r="23" spans="2:6" ht="12.75" customHeight="1">
      <c r="B23" s="4" t="s">
        <v>23</v>
      </c>
      <c r="E23" s="15" t="s">
        <v>8</v>
      </c>
      <c r="F23" s="25">
        <f>ROUND(F21/F22,4)</f>
        <v>4.4278</v>
      </c>
    </row>
    <row r="24" spans="2:6" ht="12.75" customHeight="1">
      <c r="B24" s="4" t="s">
        <v>24</v>
      </c>
      <c r="E24" s="15" t="s">
        <v>8</v>
      </c>
      <c r="F24" s="26">
        <v>0</v>
      </c>
    </row>
    <row r="25" spans="1:6" ht="12.75" customHeight="1">
      <c r="A25" s="4" t="s">
        <v>7</v>
      </c>
      <c r="E25" s="15" t="s">
        <v>8</v>
      </c>
      <c r="F25" s="27">
        <f>SUM(F20+F23+F24)</f>
        <v>5.901400000000001</v>
      </c>
    </row>
    <row r="27" spans="1:6" ht="12.75" customHeight="1">
      <c r="A27" s="9" t="s">
        <v>25</v>
      </c>
      <c r="B27" s="9"/>
      <c r="C27" s="9"/>
      <c r="D27" s="9"/>
      <c r="E27" s="9"/>
      <c r="F27" s="22"/>
    </row>
    <row r="28" spans="1:6" ht="12.75" customHeight="1">
      <c r="A28" s="9" t="s">
        <v>3</v>
      </c>
      <c r="B28" s="9"/>
      <c r="C28" s="9"/>
      <c r="D28" s="9"/>
      <c r="E28" s="12" t="s">
        <v>5</v>
      </c>
      <c r="F28" s="13" t="s">
        <v>6</v>
      </c>
    </row>
    <row r="29" spans="2:6" ht="12.75" customHeight="1">
      <c r="B29" s="4" t="s">
        <v>26</v>
      </c>
      <c r="E29" s="15" t="s">
        <v>8</v>
      </c>
      <c r="F29" s="28">
        <f>'Sched 2 File'!E33</f>
        <v>-0.0036</v>
      </c>
    </row>
    <row r="30" spans="2:6" ht="12.75" customHeight="1">
      <c r="B30" s="4" t="s">
        <v>27</v>
      </c>
      <c r="E30" s="15" t="s">
        <v>8</v>
      </c>
      <c r="F30" s="28">
        <f>'[1]Summ Work'!F30</f>
        <v>-0.0001</v>
      </c>
    </row>
    <row r="31" spans="2:6" ht="12.75" customHeight="1">
      <c r="B31" s="4" t="s">
        <v>28</v>
      </c>
      <c r="E31" s="15" t="s">
        <v>8</v>
      </c>
      <c r="F31" s="28">
        <f>'[1]Summ Work'!F31</f>
        <v>0</v>
      </c>
    </row>
    <row r="32" spans="2:6" ht="12.75" customHeight="1">
      <c r="B32" s="4" t="s">
        <v>29</v>
      </c>
      <c r="E32" s="15" t="s">
        <v>8</v>
      </c>
      <c r="F32" s="28">
        <f>'[1]Summ Work'!F32</f>
        <v>-0.0015</v>
      </c>
    </row>
    <row r="33" spans="1:6" ht="12.75" customHeight="1">
      <c r="A33" s="4" t="s">
        <v>10</v>
      </c>
      <c r="E33" s="15" t="s">
        <v>8</v>
      </c>
      <c r="F33" s="27">
        <f>SUM(F29:F32)</f>
        <v>-0.0052</v>
      </c>
    </row>
    <row r="35" spans="1:6" ht="12.75" customHeight="1">
      <c r="A35" s="9" t="s">
        <v>30</v>
      </c>
      <c r="B35" s="9"/>
      <c r="C35" s="9"/>
      <c r="D35" s="9"/>
      <c r="E35" s="9"/>
      <c r="F35" s="22"/>
    </row>
    <row r="36" spans="1:6" ht="12.75" customHeight="1">
      <c r="A36" s="9" t="s">
        <v>3</v>
      </c>
      <c r="B36" s="9"/>
      <c r="C36" s="9"/>
      <c r="D36" s="9"/>
      <c r="E36" s="12" t="s">
        <v>5</v>
      </c>
      <c r="F36" s="13" t="s">
        <v>6</v>
      </c>
    </row>
    <row r="37" spans="2:6" ht="12.75" customHeight="1">
      <c r="B37" s="4" t="s">
        <v>31</v>
      </c>
      <c r="E37" s="15" t="s">
        <v>8</v>
      </c>
      <c r="F37" s="16">
        <f>'Sched 3 File'!F50</f>
        <v>0.915</v>
      </c>
    </row>
    <row r="38" spans="2:6" ht="12.75" customHeight="1">
      <c r="B38" s="4" t="s">
        <v>32</v>
      </c>
      <c r="E38" s="15" t="s">
        <v>8</v>
      </c>
      <c r="F38" s="28">
        <f>'[1]Summ Work'!F38</f>
        <v>-0.2374</v>
      </c>
    </row>
    <row r="39" spans="2:6" ht="12.75" customHeight="1">
      <c r="B39" s="4" t="s">
        <v>33</v>
      </c>
      <c r="E39" s="15" t="s">
        <v>8</v>
      </c>
      <c r="F39" s="28">
        <f>'[1]Summ Work'!F39</f>
        <v>0.898</v>
      </c>
    </row>
    <row r="40" spans="2:6" ht="12.75" customHeight="1">
      <c r="B40" s="4" t="s">
        <v>34</v>
      </c>
      <c r="E40" s="15" t="s">
        <v>8</v>
      </c>
      <c r="F40" s="28">
        <f>'[1]Summ Work'!F40</f>
        <v>-0.6959</v>
      </c>
    </row>
    <row r="41" spans="1:6" ht="12.75" customHeight="1">
      <c r="A41" s="4" t="s">
        <v>11</v>
      </c>
      <c r="E41" s="15" t="s">
        <v>8</v>
      </c>
      <c r="F41" s="27">
        <f>SUM(F37:F40)</f>
        <v>0.8797000000000001</v>
      </c>
    </row>
    <row r="43" spans="1:6" ht="12.75" customHeight="1">
      <c r="A43" s="2" t="s">
        <v>35</v>
      </c>
      <c r="B43" s="2"/>
      <c r="C43" s="2"/>
      <c r="D43" s="2"/>
      <c r="E43" s="2"/>
      <c r="F43" s="3"/>
    </row>
    <row r="44" spans="1:6" ht="12.75" customHeight="1">
      <c r="A44" s="2" t="s">
        <v>36</v>
      </c>
      <c r="B44" s="2"/>
      <c r="C44" s="2"/>
      <c r="D44" s="2"/>
      <c r="E44" s="2"/>
      <c r="F44" s="3"/>
    </row>
    <row r="46" spans="1:4" ht="12.75" customHeight="1">
      <c r="A46" s="29" t="s">
        <v>37</v>
      </c>
      <c r="B46" s="30">
        <f>'[1]Instruct &amp; Input'!C24</f>
        <v>39918</v>
      </c>
      <c r="C46" s="31" t="s">
        <v>38</v>
      </c>
      <c r="D46" s="4" t="str">
        <f>'[1]Instruct &amp; Input'!C25</f>
        <v>Larry W. Martin</v>
      </c>
    </row>
    <row r="47" spans="1:4" ht="12.75" customHeight="1">
      <c r="A47" s="32"/>
      <c r="C47" s="32" t="s">
        <v>39</v>
      </c>
      <c r="D47" s="4" t="str">
        <f>'[1]Instruct &amp; Input'!C26</f>
        <v>Director, Regulatory Policy</v>
      </c>
    </row>
  </sheetData>
  <printOptions horizontalCentered="1" verticalCentered="1"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55"/>
  <sheetViews>
    <sheetView workbookViewId="0" topLeftCell="A13">
      <selection activeCell="B28" sqref="B28"/>
    </sheetView>
  </sheetViews>
  <sheetFormatPr defaultColWidth="9.140625" defaultRowHeight="12.75" customHeight="1"/>
  <cols>
    <col min="1" max="1" width="3.28125" style="4" customWidth="1"/>
    <col min="2" max="2" width="1.8515625" style="4" customWidth="1"/>
    <col min="3" max="3" width="39.7109375" style="4" customWidth="1"/>
    <col min="4" max="4" width="15.00390625" style="4" customWidth="1"/>
    <col min="5" max="5" width="17.421875" style="4" customWidth="1"/>
    <col min="6" max="6" width="12.8515625" style="4" customWidth="1"/>
    <col min="7" max="7" width="13.8515625" style="4" customWidth="1"/>
    <col min="8" max="16384" width="9.140625" style="4" customWidth="1"/>
  </cols>
  <sheetData>
    <row r="1" ht="12.75" customHeight="1">
      <c r="G1" s="32" t="s">
        <v>40</v>
      </c>
    </row>
    <row r="2" ht="12.75" customHeight="1">
      <c r="G2" s="32"/>
    </row>
    <row r="3" spans="1:7" ht="12.75" customHeight="1">
      <c r="A3" s="2" t="s">
        <v>0</v>
      </c>
      <c r="B3" s="2"/>
      <c r="C3" s="2"/>
      <c r="D3" s="2"/>
      <c r="E3" s="2"/>
      <c r="F3" s="2"/>
      <c r="G3" s="2"/>
    </row>
    <row r="4" spans="1:6" ht="12.75" customHeight="1">
      <c r="A4" s="2"/>
      <c r="B4" s="2"/>
      <c r="C4" s="2"/>
      <c r="D4" s="2"/>
      <c r="E4" s="2"/>
      <c r="F4" s="2"/>
    </row>
    <row r="5" spans="1:7" ht="12.75" customHeight="1">
      <c r="A5" s="33" t="s">
        <v>1</v>
      </c>
      <c r="B5" s="2"/>
      <c r="C5" s="2"/>
      <c r="D5" s="2"/>
      <c r="E5" s="2"/>
      <c r="F5" s="2"/>
      <c r="G5" s="2"/>
    </row>
    <row r="6" spans="1:7" ht="12.75" customHeight="1">
      <c r="A6" s="2"/>
      <c r="B6" s="2"/>
      <c r="C6" s="2"/>
      <c r="D6" s="2"/>
      <c r="E6" s="2"/>
      <c r="F6" s="2"/>
      <c r="G6" s="2"/>
    </row>
    <row r="7" spans="1:7" ht="12.75" customHeight="1">
      <c r="A7" s="2" t="s">
        <v>41</v>
      </c>
      <c r="B7" s="2"/>
      <c r="C7" s="2"/>
      <c r="D7" s="2"/>
      <c r="E7" s="2"/>
      <c r="F7" s="2"/>
      <c r="G7" s="2"/>
    </row>
    <row r="9" spans="4:6" ht="12.75" customHeight="1">
      <c r="D9" s="32" t="s">
        <v>42</v>
      </c>
      <c r="E9" s="34" t="str">
        <f>'[1]Instruct &amp; Input'!C7</f>
        <v>April 29, 2009</v>
      </c>
      <c r="F9" s="4" t="s">
        <v>43</v>
      </c>
    </row>
    <row r="10" spans="4:5" ht="12.75" customHeight="1">
      <c r="D10" s="32" t="s">
        <v>44</v>
      </c>
      <c r="E10" s="34" t="str">
        <f>'[1]Instruct &amp; Input'!C8</f>
        <v>April 30, 2010</v>
      </c>
    </row>
    <row r="11" spans="4:7" ht="12.75" customHeight="1">
      <c r="D11" s="35"/>
      <c r="E11" s="8"/>
      <c r="F11" s="8"/>
      <c r="G11" s="8"/>
    </row>
    <row r="12" spans="1:7" ht="12.75" customHeight="1">
      <c r="A12" s="36"/>
      <c r="B12" s="37"/>
      <c r="C12" s="38"/>
      <c r="D12" s="39" t="s">
        <v>45</v>
      </c>
      <c r="E12" s="39"/>
      <c r="F12" s="39"/>
      <c r="G12" s="39"/>
    </row>
    <row r="13" spans="1:7" ht="12.75" customHeight="1">
      <c r="A13" s="40"/>
      <c r="B13" s="8"/>
      <c r="C13" s="41" t="s">
        <v>46</v>
      </c>
      <c r="D13" s="41" t="s">
        <v>47</v>
      </c>
      <c r="E13" s="41" t="s">
        <v>48</v>
      </c>
      <c r="F13" s="41" t="s">
        <v>49</v>
      </c>
      <c r="G13" s="41" t="s">
        <v>50</v>
      </c>
    </row>
    <row r="14" spans="1:7" ht="12.75" customHeight="1">
      <c r="A14" s="36"/>
      <c r="B14" s="37"/>
      <c r="C14" s="38"/>
      <c r="D14" s="42"/>
      <c r="E14" s="42"/>
      <c r="F14" s="42"/>
      <c r="G14" s="42"/>
    </row>
    <row r="15" spans="1:7" ht="12.75" customHeight="1">
      <c r="A15" s="43" t="s">
        <v>51</v>
      </c>
      <c r="B15" s="44"/>
      <c r="C15" s="42"/>
      <c r="D15" s="42"/>
      <c r="E15" s="42"/>
      <c r="F15" s="42"/>
      <c r="G15" s="42"/>
    </row>
    <row r="16" spans="1:7" ht="12.75" customHeight="1">
      <c r="A16" s="45" t="s">
        <v>52</v>
      </c>
      <c r="B16" s="46" t="s">
        <v>53</v>
      </c>
      <c r="C16" s="42"/>
      <c r="D16" s="47"/>
      <c r="E16" s="47"/>
      <c r="F16" s="47"/>
      <c r="G16" s="47"/>
    </row>
    <row r="17" spans="1:7" ht="12.75" customHeight="1">
      <c r="A17" s="45"/>
      <c r="B17" s="46"/>
      <c r="C17" s="42" t="str">
        <f>'Sched 1A File'!E12</f>
        <v>Columbia Gas Transmission Corp</v>
      </c>
      <c r="D17" s="47">
        <f>'Sched 1A File'!I34</f>
        <v>157542453</v>
      </c>
      <c r="E17" s="47">
        <f>'[1]Sched 1A Work'!I39</f>
        <v>185734620</v>
      </c>
      <c r="F17" s="47">
        <f>'[1]Sched 1A Work'!I44</f>
        <v>1199505</v>
      </c>
      <c r="G17" s="47">
        <f aca="true" t="shared" si="0" ref="G17:G27">SUM(D17:F17)</f>
        <v>344476578</v>
      </c>
    </row>
    <row r="18" spans="1:7" ht="12.75" customHeight="1">
      <c r="A18" s="45"/>
      <c r="B18" s="46"/>
      <c r="C18" s="42" t="str">
        <f>'Sched 1A File'!E102</f>
        <v>Columbia Gulf Transmission Co</v>
      </c>
      <c r="D18" s="47">
        <f>'Sched 1A File'!I124</f>
        <v>13846768</v>
      </c>
      <c r="E18" s="47">
        <f>'Sched 1A File'!I129</f>
        <v>0</v>
      </c>
      <c r="F18" s="47">
        <f>'Sched 1A File'!I134</f>
        <v>0</v>
      </c>
      <c r="G18" s="47">
        <f t="shared" si="0"/>
        <v>13846768</v>
      </c>
    </row>
    <row r="19" spans="1:7" ht="12.75" customHeight="1">
      <c r="A19" s="45"/>
      <c r="B19" s="46"/>
      <c r="C19" s="42" t="str">
        <f>'Sched 1A File'!E155</f>
        <v>Panhandle Eastern Pipe Line Corp</v>
      </c>
      <c r="D19" s="47">
        <f>'Sched 1A File'!I177</f>
        <v>2417400</v>
      </c>
      <c r="E19" s="47">
        <f>'Sched 1A File'!I182</f>
        <v>4651020</v>
      </c>
      <c r="F19" s="47">
        <f>'Sched 1A File'!I189</f>
        <v>76000</v>
      </c>
      <c r="G19" s="47">
        <f t="shared" si="0"/>
        <v>7144420</v>
      </c>
    </row>
    <row r="20" spans="1:7" ht="12.75" customHeight="1">
      <c r="A20" s="45"/>
      <c r="B20" s="46"/>
      <c r="C20" s="42" t="str">
        <f>'Sched 1A File'!E242</f>
        <v>Crossroads Pipeline Company</v>
      </c>
      <c r="D20" s="47">
        <f>'Sched 1A File'!I264</f>
        <v>1234220</v>
      </c>
      <c r="E20" s="47">
        <f>'Sched 1A File'!I269</f>
        <v>0</v>
      </c>
      <c r="F20" s="47">
        <f>'Sched 1A File'!I274</f>
        <v>0</v>
      </c>
      <c r="G20" s="47">
        <f t="shared" si="0"/>
        <v>1234220</v>
      </c>
    </row>
    <row r="21" spans="1:7" ht="12.75" customHeight="1">
      <c r="A21" s="45"/>
      <c r="B21" s="46"/>
      <c r="C21" s="42" t="str">
        <f>'Sched 1A File'!E295</f>
        <v>North Coast Pipeline Company</v>
      </c>
      <c r="D21" s="47">
        <f>'Sched 1A File'!I317</f>
        <v>0</v>
      </c>
      <c r="E21" s="47">
        <f>'Sched 1A File'!I322</f>
        <v>0</v>
      </c>
      <c r="F21" s="47">
        <f>'Sched 1A File'!I327</f>
        <v>0</v>
      </c>
      <c r="G21" s="47">
        <f t="shared" si="0"/>
        <v>0</v>
      </c>
    </row>
    <row r="22" spans="1:7" ht="12.75" customHeight="1">
      <c r="A22" s="45"/>
      <c r="B22" s="46"/>
      <c r="C22" s="42" t="str">
        <f>'Sched 1A File'!E348</f>
        <v>Tennessee Gas Pipeline Co</v>
      </c>
      <c r="D22" s="47">
        <f>'Sched 1A File'!I370</f>
        <v>0</v>
      </c>
      <c r="E22" s="47">
        <f>'Sched 1A File'!I375</f>
        <v>0</v>
      </c>
      <c r="F22" s="47">
        <f>'Sched 1A File'!I380</f>
        <v>0</v>
      </c>
      <c r="G22" s="47">
        <f t="shared" si="0"/>
        <v>0</v>
      </c>
    </row>
    <row r="23" spans="1:7" ht="12.75" customHeight="1">
      <c r="A23" s="45"/>
      <c r="B23" s="46"/>
      <c r="C23" s="42" t="str">
        <f>'Sched 1A File'!E401</f>
        <v>Reserved for Future Use</v>
      </c>
      <c r="D23" s="47">
        <f>'Sched 1A File'!I423</f>
        <v>0</v>
      </c>
      <c r="E23" s="47">
        <f>'Sched 1A File'!I428</f>
        <v>0</v>
      </c>
      <c r="F23" s="47">
        <f>'Sched 1A File'!I433</f>
        <v>0</v>
      </c>
      <c r="G23" s="47">
        <f t="shared" si="0"/>
        <v>0</v>
      </c>
    </row>
    <row r="24" spans="1:7" ht="12.75" customHeight="1">
      <c r="A24" s="45"/>
      <c r="B24" s="46"/>
      <c r="C24" s="42" t="str">
        <f>'Sched 1A File'!E454</f>
        <v>Reserved For Future Use</v>
      </c>
      <c r="D24" s="47">
        <f>'Sched 1A File'!I476</f>
        <v>0</v>
      </c>
      <c r="E24" s="47">
        <f>'Sched 1A File'!I481</f>
        <v>0</v>
      </c>
      <c r="F24" s="47">
        <f>'Sched 1A File'!I486</f>
        <v>0</v>
      </c>
      <c r="G24" s="47">
        <f t="shared" si="0"/>
        <v>0</v>
      </c>
    </row>
    <row r="25" spans="1:7" ht="12.75" customHeight="1">
      <c r="A25" s="45"/>
      <c r="B25" s="46"/>
      <c r="C25" s="42" t="str">
        <f>'Sched 1A File'!E507</f>
        <v>Firm Peaking Contracts</v>
      </c>
      <c r="D25" s="47">
        <f>'Sched 1A File'!I529</f>
        <v>1862335</v>
      </c>
      <c r="E25" s="47">
        <f>'Sched 1A File'!I534</f>
        <v>0</v>
      </c>
      <c r="F25" s="47">
        <f>'Sched 1A File'!I539</f>
        <v>0</v>
      </c>
      <c r="G25" s="47">
        <f t="shared" si="0"/>
        <v>1862335</v>
      </c>
    </row>
    <row r="26" spans="1:7" ht="12.75" customHeight="1">
      <c r="A26" s="45"/>
      <c r="B26" s="46"/>
      <c r="C26" s="42" t="str">
        <f>'Sched 1A File'!E560</f>
        <v>Reserved for Future Use</v>
      </c>
      <c r="D26" s="47">
        <f>'Sched 1A File'!I582</f>
        <v>0</v>
      </c>
      <c r="E26" s="47">
        <f>'Sched 1A File'!I587</f>
        <v>0</v>
      </c>
      <c r="F26" s="47">
        <f>'Sched 1A File'!I592</f>
        <v>0</v>
      </c>
      <c r="G26" s="47">
        <f t="shared" si="0"/>
        <v>0</v>
      </c>
    </row>
    <row r="27" spans="1:7" ht="12.75" customHeight="1">
      <c r="A27" s="45"/>
      <c r="B27" s="46"/>
      <c r="C27" s="42" t="str">
        <f>'Sched 1A File'!E613</f>
        <v>Miscellaneous Contracts</v>
      </c>
      <c r="D27" s="47">
        <f>'Sched 1A File'!I635</f>
        <v>16686534</v>
      </c>
      <c r="E27" s="47">
        <f>'Sched 1A File'!I640</f>
        <v>0</v>
      </c>
      <c r="F27" s="47">
        <f>'Sched 1A File'!K645</f>
        <v>0</v>
      </c>
      <c r="G27" s="48">
        <f t="shared" si="0"/>
        <v>16686534</v>
      </c>
    </row>
    <row r="28" spans="1:7" ht="12.75" customHeight="1" thickBot="1">
      <c r="A28" s="49"/>
      <c r="B28" s="50" t="s">
        <v>54</v>
      </c>
      <c r="C28" s="51"/>
      <c r="D28" s="52">
        <f>SUM(D17:D27)</f>
        <v>193589710</v>
      </c>
      <c r="E28" s="52">
        <f>SUM(E17:E27)</f>
        <v>190385640</v>
      </c>
      <c r="F28" s="52">
        <f>SUM(F17:F27)</f>
        <v>1275505</v>
      </c>
      <c r="G28" s="52">
        <f>SUM(G17:G27)</f>
        <v>385250855</v>
      </c>
    </row>
    <row r="29" spans="1:7" ht="12.75" customHeight="1">
      <c r="A29" s="45"/>
      <c r="B29" s="46"/>
      <c r="C29" s="42" t="s">
        <v>55</v>
      </c>
      <c r="D29" s="53">
        <f>'[1]Sales &amp; CHOICE Volumes'!E63</f>
        <v>0.65</v>
      </c>
      <c r="E29" s="47"/>
      <c r="F29" s="47"/>
      <c r="G29" s="47"/>
    </row>
    <row r="30" spans="1:7" ht="12.75" customHeight="1">
      <c r="A30" s="45"/>
      <c r="B30" s="46" t="s">
        <v>56</v>
      </c>
      <c r="C30" s="42"/>
      <c r="D30" s="47">
        <f>ROUND(D28*D29,0)</f>
        <v>125833312</v>
      </c>
      <c r="E30" s="47">
        <f>E28</f>
        <v>190385640</v>
      </c>
      <c r="F30" s="47">
        <f>F28</f>
        <v>1275505</v>
      </c>
      <c r="G30" s="47">
        <f>SUM(D30:F30)</f>
        <v>317494457</v>
      </c>
    </row>
    <row r="31" spans="1:7" ht="12.75" customHeight="1">
      <c r="A31" s="45"/>
      <c r="B31" s="46"/>
      <c r="C31" s="42"/>
      <c r="D31" s="47"/>
      <c r="E31" s="47"/>
      <c r="F31" s="47"/>
      <c r="G31" s="47"/>
    </row>
    <row r="32" spans="1:7" ht="12.75" customHeight="1" thickBot="1">
      <c r="A32" s="49" t="s">
        <v>57</v>
      </c>
      <c r="B32" s="50" t="s">
        <v>58</v>
      </c>
      <c r="C32" s="51"/>
      <c r="D32" s="52">
        <v>0</v>
      </c>
      <c r="E32" s="52"/>
      <c r="F32" s="52"/>
      <c r="G32" s="52">
        <f>SUM(D32:F32)</f>
        <v>0</v>
      </c>
    </row>
    <row r="33" spans="1:7" ht="12.75" customHeight="1">
      <c r="A33" s="45"/>
      <c r="B33" s="46"/>
      <c r="C33" s="42"/>
      <c r="D33" s="47"/>
      <c r="E33" s="47"/>
      <c r="F33" s="47"/>
      <c r="G33" s="47"/>
    </row>
    <row r="34" spans="1:7" ht="12.75" customHeight="1" thickBot="1">
      <c r="A34" s="49" t="s">
        <v>59</v>
      </c>
      <c r="B34" s="50" t="s">
        <v>60</v>
      </c>
      <c r="C34" s="51"/>
      <c r="D34" s="52">
        <v>0</v>
      </c>
      <c r="E34" s="52"/>
      <c r="F34" s="52"/>
      <c r="G34" s="52">
        <f>SUM(D34:F34)</f>
        <v>0</v>
      </c>
    </row>
    <row r="35" spans="1:7" ht="12.75" customHeight="1">
      <c r="A35" s="45"/>
      <c r="B35" s="46"/>
      <c r="C35" s="42"/>
      <c r="D35" s="47"/>
      <c r="E35" s="47"/>
      <c r="F35" s="47"/>
      <c r="G35" s="47"/>
    </row>
    <row r="36" spans="1:7" ht="12.75" customHeight="1" thickBot="1">
      <c r="A36" s="49" t="s">
        <v>61</v>
      </c>
      <c r="B36" s="50" t="s">
        <v>62</v>
      </c>
      <c r="C36" s="51"/>
      <c r="D36" s="52">
        <v>0</v>
      </c>
      <c r="E36" s="52">
        <f>'Sched 1B File'!E30</f>
        <v>20410600</v>
      </c>
      <c r="F36" s="52">
        <v>0</v>
      </c>
      <c r="G36" s="52">
        <f>SUM(D36:F36)</f>
        <v>20410600</v>
      </c>
    </row>
    <row r="37" spans="1:7" ht="12.75" customHeight="1">
      <c r="A37" s="45"/>
      <c r="B37" s="46"/>
      <c r="C37" s="42"/>
      <c r="D37" s="47"/>
      <c r="E37" s="47"/>
      <c r="F37" s="47"/>
      <c r="G37" s="47"/>
    </row>
    <row r="38" spans="1:7" ht="12.75" customHeight="1" thickBot="1">
      <c r="A38" s="49" t="s">
        <v>63</v>
      </c>
      <c r="B38" s="50" t="s">
        <v>64</v>
      </c>
      <c r="C38" s="51"/>
      <c r="D38" s="52">
        <v>0</v>
      </c>
      <c r="E38" s="52">
        <v>0</v>
      </c>
      <c r="F38" s="52">
        <v>0</v>
      </c>
      <c r="G38" s="52">
        <f>SUM(D38:F38)</f>
        <v>0</v>
      </c>
    </row>
    <row r="39" spans="1:7" ht="12.75" customHeight="1">
      <c r="A39" s="45"/>
      <c r="B39" s="46"/>
      <c r="C39" s="42"/>
      <c r="D39" s="47"/>
      <c r="E39" s="47"/>
      <c r="F39" s="47"/>
      <c r="G39" s="47"/>
    </row>
    <row r="40" spans="1:7" ht="12.75" customHeight="1" thickBot="1">
      <c r="A40" s="49" t="s">
        <v>65</v>
      </c>
      <c r="B40" s="50" t="s">
        <v>66</v>
      </c>
      <c r="C40" s="51"/>
      <c r="D40" s="54">
        <v>0</v>
      </c>
      <c r="E40" s="54">
        <f>'Sched 1B File'!E46</f>
        <v>166023140</v>
      </c>
      <c r="F40" s="54">
        <v>0</v>
      </c>
      <c r="G40" s="54">
        <f>SUM(D40:F40)</f>
        <v>166023140</v>
      </c>
    </row>
    <row r="41" spans="1:7" ht="12.75" customHeight="1">
      <c r="A41" s="45"/>
      <c r="B41" s="46"/>
      <c r="C41" s="42"/>
      <c r="D41" s="47"/>
      <c r="E41" s="47"/>
      <c r="F41" s="47"/>
      <c r="G41" s="47"/>
    </row>
    <row r="42" spans="1:7" ht="12.75" customHeight="1" thickBot="1">
      <c r="A42" s="49" t="s">
        <v>67</v>
      </c>
      <c r="B42" s="50"/>
      <c r="C42" s="51"/>
      <c r="D42" s="52">
        <f>SUM(D30:D40)</f>
        <v>125833312</v>
      </c>
      <c r="E42" s="52">
        <f>SUM(E30:E40)</f>
        <v>376819380</v>
      </c>
      <c r="F42" s="52">
        <f>SUM(F30:F40)</f>
        <v>1275505</v>
      </c>
      <c r="G42" s="52">
        <f>SUM(G30:G40)</f>
        <v>503928197</v>
      </c>
    </row>
    <row r="43" spans="1:7" ht="12.75" customHeight="1">
      <c r="A43" s="45"/>
      <c r="D43" s="55"/>
      <c r="E43" s="55"/>
      <c r="F43" s="47"/>
      <c r="G43" s="47"/>
    </row>
    <row r="44" spans="1:7" ht="12.75" customHeight="1">
      <c r="A44" s="45"/>
      <c r="D44" s="55"/>
      <c r="E44" s="55"/>
      <c r="F44" s="47"/>
      <c r="G44" s="47"/>
    </row>
    <row r="45" spans="1:7" ht="12.75" customHeight="1">
      <c r="A45" s="43" t="s">
        <v>68</v>
      </c>
      <c r="B45" s="46"/>
      <c r="C45" s="46"/>
      <c r="D45" s="56"/>
      <c r="E45" s="56"/>
      <c r="F45" s="56"/>
      <c r="G45" s="57"/>
    </row>
    <row r="46" spans="1:7" ht="12.75" customHeight="1" thickBot="1">
      <c r="A46" s="45" t="s">
        <v>69</v>
      </c>
      <c r="B46" s="46"/>
      <c r="C46" s="46"/>
      <c r="D46" s="56"/>
      <c r="E46" s="56"/>
      <c r="F46" s="56"/>
      <c r="G46" s="58">
        <v>0</v>
      </c>
    </row>
    <row r="47" spans="1:7" ht="12.75" customHeight="1">
      <c r="A47" s="45"/>
      <c r="D47" s="55"/>
      <c r="E47" s="55"/>
      <c r="F47" s="47"/>
      <c r="G47" s="47"/>
    </row>
    <row r="48" spans="1:7" ht="12.75" customHeight="1">
      <c r="A48" s="45"/>
      <c r="D48" s="55"/>
      <c r="E48" s="55"/>
      <c r="F48" s="47"/>
      <c r="G48" s="47"/>
    </row>
    <row r="49" spans="1:7" ht="12.75" customHeight="1">
      <c r="A49" s="43" t="s">
        <v>70</v>
      </c>
      <c r="D49" s="55"/>
      <c r="E49" s="55"/>
      <c r="F49" s="47"/>
      <c r="G49" s="47"/>
    </row>
    <row r="50" spans="1:7" ht="12.75" customHeight="1">
      <c r="A50" s="45" t="s">
        <v>52</v>
      </c>
      <c r="B50" s="4" t="s">
        <v>71</v>
      </c>
      <c r="D50" s="55"/>
      <c r="E50" s="55"/>
      <c r="F50" s="47"/>
      <c r="G50" s="47">
        <v>0</v>
      </c>
    </row>
    <row r="51" spans="1:7" ht="12.75" customHeight="1">
      <c r="A51" s="45" t="s">
        <v>57</v>
      </c>
      <c r="B51" s="4" t="s">
        <v>72</v>
      </c>
      <c r="D51" s="55"/>
      <c r="E51" s="55"/>
      <c r="F51" s="47"/>
      <c r="G51" s="48">
        <v>0</v>
      </c>
    </row>
    <row r="52" spans="1:7" ht="12.75" customHeight="1" thickBot="1">
      <c r="A52" s="45" t="s">
        <v>73</v>
      </c>
      <c r="D52" s="55"/>
      <c r="E52" s="55"/>
      <c r="F52" s="47"/>
      <c r="G52" s="52">
        <f>SUM(G50:G51)</f>
        <v>0</v>
      </c>
    </row>
    <row r="53" spans="1:7" ht="12.75" customHeight="1">
      <c r="A53" s="45"/>
      <c r="D53" s="55"/>
      <c r="E53" s="55"/>
      <c r="F53" s="47"/>
      <c r="G53" s="47"/>
    </row>
    <row r="54" spans="1:7" ht="12.75" customHeight="1">
      <c r="A54" s="45"/>
      <c r="D54" s="55"/>
      <c r="E54" s="55"/>
      <c r="F54" s="47"/>
      <c r="G54" s="42"/>
    </row>
    <row r="55" spans="1:7" ht="12.75" customHeight="1" thickBot="1">
      <c r="A55" s="40" t="s">
        <v>74</v>
      </c>
      <c r="B55" s="8"/>
      <c r="C55" s="8"/>
      <c r="D55" s="59"/>
      <c r="E55" s="59"/>
      <c r="F55" s="60"/>
      <c r="G55" s="52">
        <f>SUM(G42+G46+G52)</f>
        <v>503928197</v>
      </c>
    </row>
  </sheetData>
  <printOptions horizontalCentered="1"/>
  <pageMargins left="0.5" right="0.5" top="0.75" bottom="0.5" header="0.5" footer="0.5"/>
  <pageSetup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653"/>
  <sheetViews>
    <sheetView zoomScale="75" zoomScaleNormal="75" workbookViewId="0" topLeftCell="A562">
      <selection activeCell="B28" sqref="B28"/>
    </sheetView>
  </sheetViews>
  <sheetFormatPr defaultColWidth="9.140625" defaultRowHeight="12.75" customHeight="1"/>
  <cols>
    <col min="1" max="1" width="3.8515625" style="4" customWidth="1"/>
    <col min="2" max="2" width="26.7109375" style="4" customWidth="1"/>
    <col min="3" max="3" width="9.00390625" style="4" customWidth="1"/>
    <col min="4" max="4" width="3.421875" style="15" customWidth="1"/>
    <col min="5" max="5" width="17.7109375" style="4" customWidth="1"/>
    <col min="6" max="6" width="3.421875" style="4" customWidth="1"/>
    <col min="7" max="7" width="15.00390625" style="4" customWidth="1"/>
    <col min="8" max="8" width="3.421875" style="4" customWidth="1"/>
    <col min="9" max="9" width="15.00390625" style="4" customWidth="1"/>
    <col min="10" max="16384" width="9.140625" style="4" customWidth="1"/>
  </cols>
  <sheetData>
    <row r="1" spans="1:9" ht="12.75" customHeight="1">
      <c r="A1" s="61"/>
      <c r="I1" s="32" t="s">
        <v>75</v>
      </c>
    </row>
    <row r="2" spans="1:9" ht="12.75" customHeight="1">
      <c r="A2" s="32"/>
      <c r="I2" s="32" t="str">
        <f>IF('[1]Scratch Pad'!C6="N","Page "&amp;'[1]Scratch Pad'!D6&amp;" of 6","MISCELLANEOUS")</f>
        <v>Page 1 of 6</v>
      </c>
    </row>
    <row r="3" spans="1:9" ht="12.75" customHeight="1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33" t="s">
        <v>1</v>
      </c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2" t="s">
        <v>76</v>
      </c>
      <c r="B7" s="2"/>
      <c r="C7" s="2"/>
      <c r="D7" s="2"/>
      <c r="E7" s="2"/>
      <c r="F7" s="2"/>
      <c r="G7" s="2"/>
      <c r="H7" s="2"/>
      <c r="I7" s="2"/>
    </row>
    <row r="9" spans="3:6" ht="12.75" customHeight="1">
      <c r="C9" s="32" t="s">
        <v>42</v>
      </c>
      <c r="D9" s="12"/>
      <c r="E9" s="62" t="str">
        <f>'[1]Instruct &amp; Input'!C7</f>
        <v>April 29, 2009</v>
      </c>
      <c r="F9" s="4" t="s">
        <v>43</v>
      </c>
    </row>
    <row r="10" spans="3:5" ht="12.75" customHeight="1">
      <c r="C10" s="32" t="s">
        <v>44</v>
      </c>
      <c r="D10" s="12"/>
      <c r="E10" s="62" t="str">
        <f>'[1]Instruct &amp; Input'!C8</f>
        <v>April 30, 2010</v>
      </c>
    </row>
    <row r="12" spans="1:9" ht="12.75" customHeight="1">
      <c r="A12" s="46"/>
      <c r="C12" s="32" t="s">
        <v>77</v>
      </c>
      <c r="D12" s="12"/>
      <c r="E12" s="63" t="str">
        <f>'[1]Demand'!R2864</f>
        <v>Columbia Gas Transmission Corp</v>
      </c>
      <c r="F12" s="8"/>
      <c r="G12" s="8"/>
      <c r="H12" s="8"/>
      <c r="I12" s="8"/>
    </row>
    <row r="13" spans="1:9" ht="12.75" customHeight="1">
      <c r="A13" s="64"/>
      <c r="C13" s="32" t="s">
        <v>78</v>
      </c>
      <c r="D13" s="12"/>
      <c r="E13" s="63" t="s">
        <v>79</v>
      </c>
      <c r="F13" s="8"/>
      <c r="G13" s="8"/>
      <c r="H13" s="8"/>
      <c r="I13" s="8"/>
    </row>
    <row r="14" spans="3:9" ht="12.75" customHeight="1">
      <c r="C14" s="32" t="s">
        <v>80</v>
      </c>
      <c r="D14" s="12"/>
      <c r="E14" s="62">
        <f>'[1]Demand'!Z2864</f>
        <v>39904</v>
      </c>
      <c r="H14" s="32" t="s">
        <v>81</v>
      </c>
      <c r="I14" s="65" t="str">
        <f>IF(ISBLANK('[1]Demand'!AA2864)," ",'[1]Demand'!AA2864)</f>
        <v>25, 28 &amp; 32</v>
      </c>
    </row>
    <row r="16" spans="1:9" ht="12.75" customHeight="1">
      <c r="A16" s="55"/>
      <c r="C16" s="32" t="s">
        <v>82</v>
      </c>
      <c r="D16" s="12" t="s">
        <v>83</v>
      </c>
      <c r="E16" s="4" t="s">
        <v>84</v>
      </c>
      <c r="F16" s="12"/>
      <c r="G16" s="4" t="s">
        <v>85</v>
      </c>
      <c r="H16" s="12"/>
      <c r="I16" s="4" t="s">
        <v>86</v>
      </c>
    </row>
    <row r="17" spans="1:9" ht="12.75" customHeight="1">
      <c r="A17" s="55"/>
      <c r="C17" s="32" t="s">
        <v>87</v>
      </c>
      <c r="D17" s="12"/>
      <c r="E17" s="4" t="s">
        <v>88</v>
      </c>
      <c r="F17" s="12" t="s">
        <v>83</v>
      </c>
      <c r="G17" s="4" t="s">
        <v>89</v>
      </c>
      <c r="H17" s="12"/>
      <c r="I17" s="4" t="s">
        <v>90</v>
      </c>
    </row>
    <row r="18" spans="1:8" ht="12.75" customHeight="1">
      <c r="A18" s="55"/>
      <c r="C18" s="32" t="s">
        <v>91</v>
      </c>
      <c r="D18" s="12" t="s">
        <v>83</v>
      </c>
      <c r="E18" s="4" t="s">
        <v>92</v>
      </c>
      <c r="F18" s="12"/>
      <c r="G18" s="4" t="s">
        <v>93</v>
      </c>
      <c r="H18" s="15"/>
    </row>
    <row r="19" ht="12.75" customHeight="1">
      <c r="A19" s="55"/>
    </row>
    <row r="20" spans="1:9" ht="12.75" customHeight="1">
      <c r="A20" s="59"/>
      <c r="B20" s="9"/>
      <c r="C20" s="9"/>
      <c r="D20" s="12"/>
      <c r="E20" s="9"/>
      <c r="F20" s="9"/>
      <c r="G20" s="9"/>
      <c r="H20" s="9"/>
      <c r="I20" s="9"/>
    </row>
    <row r="21" spans="1:9" ht="12.75" customHeight="1">
      <c r="A21" s="66"/>
      <c r="B21" s="7"/>
      <c r="C21" s="7"/>
      <c r="D21" s="67"/>
      <c r="E21" s="68" t="s">
        <v>94</v>
      </c>
      <c r="F21" s="7"/>
      <c r="G21" s="68" t="s">
        <v>95</v>
      </c>
      <c r="H21" s="7"/>
      <c r="I21" s="69" t="s">
        <v>96</v>
      </c>
    </row>
    <row r="22" spans="1:9" ht="12.75" customHeight="1">
      <c r="A22" s="70"/>
      <c r="B22" s="9" t="s">
        <v>97</v>
      </c>
      <c r="C22" s="9"/>
      <c r="D22" s="12"/>
      <c r="E22" s="71" t="s">
        <v>98</v>
      </c>
      <c r="F22" s="9"/>
      <c r="G22" s="71" t="s">
        <v>99</v>
      </c>
      <c r="H22" s="9"/>
      <c r="I22" s="72" t="s">
        <v>100</v>
      </c>
    </row>
    <row r="23" spans="1:9" ht="12.75" customHeight="1">
      <c r="A23" s="66"/>
      <c r="E23" s="45"/>
      <c r="G23" s="45"/>
      <c r="I23" s="73"/>
    </row>
    <row r="24" spans="1:9" ht="12.75" customHeight="1">
      <c r="A24" s="74" t="s">
        <v>47</v>
      </c>
      <c r="B24" s="75"/>
      <c r="E24" s="45"/>
      <c r="G24" s="45"/>
      <c r="I24" s="73"/>
    </row>
    <row r="25" spans="1:9" ht="12.75" customHeight="1">
      <c r="A25" s="66"/>
      <c r="B25" s="4" t="str">
        <f>IF(AND(ISBLANK('[1]Demand'!Y2864),'[1]Demand'!T2864&gt;0),'[1]Demand'!T2864," ")</f>
        <v>Storage Service Transport</v>
      </c>
      <c r="C25" s="15" t="str">
        <f>IF(AND(ISBLANK('[1]Demand'!Y2864),'[1]Demand'!S2864&gt;0),'[1]Demand'!S2864," ")</f>
        <v>SST - W</v>
      </c>
      <c r="D25" s="15" t="str">
        <f>IF(AND(E25&gt;0,'[1]Demand'!AB2864="Y"),"*"," ")</f>
        <v>*</v>
      </c>
      <c r="E25" s="76">
        <f>IF(AND(ISBLANK('[1]Demand'!Y2864),'[1]Demand'!U2864&gt;0),'[1]Demand'!U2864," ")</f>
        <v>5.85</v>
      </c>
      <c r="F25" s="46"/>
      <c r="G25" s="77">
        <f>IF(AND(ISBLANK('[1]Demand'!Y2864),'[1]Demand'!V2864&gt;0),'[1]Demand'!V2864," ")</f>
        <v>8670612</v>
      </c>
      <c r="H25" s="46"/>
      <c r="I25" s="78">
        <f>IF(AND(ISBLANK('[1]Demand'!Y2864),'[1]Demand'!W2864&gt;0),'[1]Demand'!W2864," ")</f>
        <v>50723080</v>
      </c>
    </row>
    <row r="26" spans="1:9" ht="12.75" customHeight="1">
      <c r="A26" s="79"/>
      <c r="B26" s="4" t="str">
        <f>IF(AND(ISBLANK('[1]Demand'!Y2865),'[1]Demand'!T2865&gt;0),'[1]Demand'!T2865," ")</f>
        <v>Storage Service Transport</v>
      </c>
      <c r="C26" s="15" t="str">
        <f>IF(AND(ISBLANK('[1]Demand'!Y2865),'[1]Demand'!S2865&gt;0),'[1]Demand'!S2865," ")</f>
        <v>SST - S</v>
      </c>
      <c r="D26" s="15" t="str">
        <f>IF(AND(E26&gt;0,'[1]Demand'!AB2865="Y"),"*"," ")</f>
        <v>*</v>
      </c>
      <c r="E26" s="76">
        <f>IF(AND(ISBLANK('[1]Demand'!Y2865),'[1]Demand'!U2865&gt;0),'[1]Demand'!U2865," ")</f>
        <v>5.85</v>
      </c>
      <c r="F26" s="46"/>
      <c r="G26" s="77">
        <f>IF(AND(ISBLANK('[1]Demand'!Y2865),'[1]Demand'!V2865&gt;0),'[1]Demand'!V2865," ")</f>
        <v>4335306</v>
      </c>
      <c r="H26" s="46"/>
      <c r="I26" s="78">
        <f>IF(AND(ISBLANK('[1]Demand'!Y2865),'[1]Demand'!W2865&gt;0),'[1]Demand'!W2865," ")</f>
        <v>25361540</v>
      </c>
    </row>
    <row r="27" spans="1:9" ht="12.75" customHeight="1">
      <c r="A27" s="66"/>
      <c r="B27" s="4" t="str">
        <f>IF(AND(ISBLANK('[1]Demand'!Y2866),'[1]Demand'!T2866&gt;0),'[1]Demand'!T2866," ")</f>
        <v>Reservation Charge</v>
      </c>
      <c r="C27" s="15" t="str">
        <f>IF(AND(ISBLANK('[1]Demand'!Y2866),'[1]Demand'!S2866&gt;0),'[1]Demand'!S2866," ")</f>
        <v>FTS</v>
      </c>
      <c r="D27" s="15" t="str">
        <f>IF(AND(E27&gt;0,'[1]Demand'!AB2866="Y"),"*"," ")</f>
        <v>*</v>
      </c>
      <c r="E27" s="76">
        <f>IF(AND(ISBLANK('[1]Demand'!Y2866),'[1]Demand'!U2866&gt;0),'[1]Demand'!U2866," ")</f>
        <v>6.02</v>
      </c>
      <c r="F27" s="46"/>
      <c r="G27" s="77">
        <f>IF(AND(ISBLANK('[1]Demand'!Y2866),'[1]Demand'!V2866&gt;0),'[1]Demand'!V2866," ")</f>
        <v>4561800</v>
      </c>
      <c r="H27" s="46"/>
      <c r="I27" s="78">
        <f>IF(AND(ISBLANK('[1]Demand'!Y2866),'[1]Demand'!W2866&gt;0),'[1]Demand'!W2866," ")</f>
        <v>27462036</v>
      </c>
    </row>
    <row r="28" spans="1:9" ht="12.75" customHeight="1">
      <c r="A28" s="66"/>
      <c r="B28" s="4" t="str">
        <f>IF(AND(ISBLANK('[1]Demand'!Y2867),'[1]Demand'!T2867&gt;0),'[1]Demand'!T2867," ")</f>
        <v>Reservation Charge</v>
      </c>
      <c r="C28" s="15" t="str">
        <f>IF(AND(ISBLANK('[1]Demand'!Y2867),'[1]Demand'!S2867&gt;0),'[1]Demand'!S2867," ")</f>
        <v>FSS RES</v>
      </c>
      <c r="D28" s="15" t="str">
        <f>IF(AND(E28&gt;0,'[1]Demand'!AB2867="Y"),"*"," ")</f>
        <v>*</v>
      </c>
      <c r="E28" s="76">
        <f>IF(AND(ISBLANK('[1]Demand'!Y2867),'[1]Demand'!U2867&gt;0),'[1]Demand'!U2867," ")</f>
        <v>1.505</v>
      </c>
      <c r="F28" s="46"/>
      <c r="G28" s="77">
        <f>IF(AND(ISBLANK('[1]Demand'!Y2867),'[1]Demand'!V2867&gt;0),'[1]Demand'!V2867," ")</f>
        <v>17341224</v>
      </c>
      <c r="H28" s="46"/>
      <c r="I28" s="78">
        <f>IF(AND(ISBLANK('[1]Demand'!Y2867),'[1]Demand'!W2867&gt;0),'[1]Demand'!W2867," ")</f>
        <v>26098542</v>
      </c>
    </row>
    <row r="29" spans="1:9" ht="12.75" customHeight="1">
      <c r="A29" s="66"/>
      <c r="B29" s="4" t="str">
        <f>IF(AND(ISBLANK('[1]Demand'!Y2868),'[1]Demand'!T2868&gt;0),'[1]Demand'!T2868," ")</f>
        <v>Capacity Charge</v>
      </c>
      <c r="C29" s="15" t="str">
        <f>IF(AND(ISBLANK('[1]Demand'!Y2868),'[1]Demand'!S2868&gt;0),'[1]Demand'!S2868," ")</f>
        <v>FSS CAP</v>
      </c>
      <c r="D29" s="15" t="str">
        <f>IF(AND(E29&gt;0,'[1]Demand'!AB2868="Y"),"*"," ")</f>
        <v>*</v>
      </c>
      <c r="E29" s="76">
        <f>IF(AND(ISBLANK('[1]Demand'!Y2868),'[1]Demand'!U2868&gt;0),'[1]Demand'!U2868," ")</f>
        <v>0.0289</v>
      </c>
      <c r="F29" s="46"/>
      <c r="G29" s="77">
        <f>IF(AND(ISBLANK('[1]Demand'!Y2868),'[1]Demand'!V2868&gt;0),'[1]Demand'!V2868," ")</f>
        <v>965302956</v>
      </c>
      <c r="H29" s="46"/>
      <c r="I29" s="78">
        <f>IF(AND(ISBLANK('[1]Demand'!Y2868),'[1]Demand'!W2868&gt;0),'[1]Demand'!W2868," ")</f>
        <v>27897255</v>
      </c>
    </row>
    <row r="30" spans="1:9" ht="12.75" customHeight="1">
      <c r="A30" s="66"/>
      <c r="B30" s="4" t="str">
        <f>IF(AND(ISBLANK('[1]Demand'!Y2869),'[1]Demand'!T2869&gt;0),'[1]Demand'!T2869," ")</f>
        <v> </v>
      </c>
      <c r="C30" s="15" t="str">
        <f>IF(AND(ISBLANK('[1]Demand'!Y2869),'[1]Demand'!S2869&gt;0),'[1]Demand'!S2869," ")</f>
        <v> </v>
      </c>
      <c r="D30" s="80" t="str">
        <f>IF(AND(E30&gt;0,'[1]Demand'!AB2869="Y"),"*"," ")</f>
        <v> </v>
      </c>
      <c r="E30" s="81" t="str">
        <f>IF(AND(ISBLANK('[1]Demand'!Y2869),'[1]Demand'!U2869&gt;0),'[1]Demand'!U2869," ")</f>
        <v> </v>
      </c>
      <c r="F30" s="42"/>
      <c r="G30" s="82" t="str">
        <f>IF(AND(ISBLANK('[1]Demand'!Y2869),'[1]Demand'!V2869&gt;0),'[1]Demand'!V2869," ")</f>
        <v> </v>
      </c>
      <c r="H30" s="42"/>
      <c r="I30" s="78" t="str">
        <f>IF(AND(ISBLANK('[1]Demand'!Y2869),'[1]Demand'!W2869&gt;0),'[1]Demand'!W2869," ")</f>
        <v> </v>
      </c>
    </row>
    <row r="31" spans="1:9" ht="12.75" customHeight="1">
      <c r="A31" s="66"/>
      <c r="B31" s="4" t="str">
        <f>IF(AND(ISBLANK('[1]Demand'!Y2870),'[1]Demand'!T2870&gt;0),'[1]Demand'!T2870," ")</f>
        <v> </v>
      </c>
      <c r="C31" s="4" t="str">
        <f>IF(AND(ISBLANK('[1]Demand'!Z2870),'[1]Demand'!U2870&gt;0),'[1]Demand'!U2870," ")</f>
        <v> </v>
      </c>
      <c r="D31" s="42" t="str">
        <f>IF(AND(ISBLANK('[1]Demand'!AA2870),'[1]Demand'!V2870&gt;0),'[1]Demand'!V2870," ")</f>
        <v> </v>
      </c>
      <c r="E31" s="4" t="str">
        <f>IF(AND(ISBLANK('[1]Demand'!AB2870),'[1]Demand'!W2870&gt;0),'[1]Demand'!W2870," ")</f>
        <v> </v>
      </c>
      <c r="F31" s="42" t="str">
        <f>IF(AND(ISBLANK('[1]Demand'!AC2870),'[1]Demand'!X2870&gt;0),'[1]Demand'!X2870," ")</f>
        <v> </v>
      </c>
      <c r="G31" s="4" t="str">
        <f>IF(AND(ISBLANK('[1]Demand'!AD2870),'[1]Demand'!Y2870&gt;0),'[1]Demand'!Y2870," ")</f>
        <v> </v>
      </c>
      <c r="H31" s="42" t="str">
        <f>IF(AND(ISBLANK('[1]Demand'!AE2870),'[1]Demand'!Z2870&gt;0),'[1]Demand'!Z2870," ")</f>
        <v> </v>
      </c>
      <c r="I31" s="73" t="str">
        <f>IF(AND(ISBLANK('[1]Demand'!AF2870),'[1]Demand'!AA2870&gt;0),'[1]Demand'!AA2870," ")</f>
        <v> </v>
      </c>
    </row>
    <row r="32" spans="1:9" ht="12.75" customHeight="1">
      <c r="A32" s="66"/>
      <c r="B32" s="4" t="str">
        <f>IF(AND(ISBLANK('[1]Demand'!Y2871),'[1]Demand'!T2871&gt;0),'[1]Demand'!T2871," ")</f>
        <v> </v>
      </c>
      <c r="C32" s="4" t="str">
        <f>IF(AND(ISBLANK('[1]Demand'!Z2871),'[1]Demand'!U2871&gt;0),'[1]Demand'!U2871," ")</f>
        <v> </v>
      </c>
      <c r="D32" s="42" t="str">
        <f>IF(AND(ISBLANK('[1]Demand'!AA2871),'[1]Demand'!V2871&gt;0),'[1]Demand'!V2871," ")</f>
        <v> </v>
      </c>
      <c r="E32" s="4" t="str">
        <f>IF(AND(ISBLANK('[1]Demand'!AB2871),'[1]Demand'!W2871&gt;0),'[1]Demand'!W2871," ")</f>
        <v> </v>
      </c>
      <c r="F32" s="42" t="str">
        <f>IF(AND(ISBLANK('[1]Demand'!AC2871),'[1]Demand'!X2871&gt;0),'[1]Demand'!X2871," ")</f>
        <v> </v>
      </c>
      <c r="G32" s="4" t="str">
        <f>IF(AND(ISBLANK('[1]Demand'!AD2871),'[1]Demand'!Y2871&gt;0),'[1]Demand'!Y2871," ")</f>
        <v> </v>
      </c>
      <c r="H32" s="42" t="str">
        <f>IF(AND(ISBLANK('[1]Demand'!AE2871),'[1]Demand'!Z2871&gt;0),'[1]Demand'!Z2871," ")</f>
        <v> </v>
      </c>
      <c r="I32" s="73" t="str">
        <f>IF(AND(ISBLANK('[1]Demand'!AF2871),'[1]Demand'!AA2871&gt;0),'[1]Demand'!AA2871," ")</f>
        <v> </v>
      </c>
    </row>
    <row r="33" spans="1:9" ht="12.75" customHeight="1">
      <c r="A33" s="66"/>
      <c r="B33" s="4" t="str">
        <f>IF(AND(ISBLANK('[1]Demand'!Y2872),'[1]Demand'!T2872&gt;0),'[1]Demand'!T2872," ")</f>
        <v> </v>
      </c>
      <c r="C33" s="4" t="str">
        <f>IF(AND(ISBLANK('[1]Demand'!Z2872),'[1]Demand'!U2872&gt;0),'[1]Demand'!U2872," ")</f>
        <v> </v>
      </c>
      <c r="D33" s="42" t="str">
        <f>IF(AND(ISBLANK('[1]Demand'!AA2872),'[1]Demand'!V2872&gt;0),'[1]Demand'!V2872," ")</f>
        <v> </v>
      </c>
      <c r="E33" s="4" t="str">
        <f>IF(AND(ISBLANK('[1]Demand'!AB2872),'[1]Demand'!W2872&gt;0),'[1]Demand'!W2872," ")</f>
        <v> </v>
      </c>
      <c r="F33" s="83" t="str">
        <f>IF(AND(ISBLANK('[1]Demand'!AC2872),'[1]Demand'!X2872&gt;0),'[1]Demand'!X2872," ")</f>
        <v> </v>
      </c>
      <c r="G33" s="4" t="str">
        <f>IF(AND(ISBLANK('[1]Demand'!AD2872),'[1]Demand'!Y2872&gt;0),'[1]Demand'!Y2872," ")</f>
        <v> </v>
      </c>
      <c r="H33" s="83" t="str">
        <f>IF(AND(ISBLANK('[1]Demand'!AE2872),'[1]Demand'!Z2872&gt;0),'[1]Demand'!Z2872," ")</f>
        <v> </v>
      </c>
      <c r="I33" s="84" t="str">
        <f>IF(AND(ISBLANK('[1]Demand'!AF2872),'[1]Demand'!AA2872&gt;0),'[1]Demand'!AA2872," ")</f>
        <v> </v>
      </c>
    </row>
    <row r="34" spans="1:9" ht="12.75" customHeight="1" thickBot="1">
      <c r="A34" s="85" t="s">
        <v>101</v>
      </c>
      <c r="B34" s="86"/>
      <c r="C34" s="86"/>
      <c r="D34" s="87"/>
      <c r="E34" s="88"/>
      <c r="F34" s="86"/>
      <c r="G34" s="89"/>
      <c r="H34" s="86"/>
      <c r="I34" s="58">
        <f>SUM(I25:I33)</f>
        <v>157542453</v>
      </c>
    </row>
    <row r="35" spans="1:9" ht="12.75" customHeight="1">
      <c r="A35" s="66"/>
      <c r="E35" s="90"/>
      <c r="G35" s="66"/>
      <c r="I35" s="57"/>
    </row>
    <row r="36" spans="1:9" ht="12.75" customHeight="1">
      <c r="A36" s="91" t="s">
        <v>48</v>
      </c>
      <c r="B36" s="75"/>
      <c r="E36" s="90"/>
      <c r="G36" s="66"/>
      <c r="I36" s="73"/>
    </row>
    <row r="37" spans="1:9" ht="12.75" customHeight="1">
      <c r="A37" s="66"/>
      <c r="B37" s="4" t="s">
        <v>48</v>
      </c>
      <c r="D37" s="15" t="str">
        <f>IF(AND(E37&gt;0,'[1]Instruct &amp; Input'!$Z$34="Y"),"*"," ")</f>
        <v> </v>
      </c>
      <c r="E37" s="90"/>
      <c r="G37" s="66"/>
      <c r="I37" s="57">
        <f>ROUND(G37*E37,0)</f>
        <v>0</v>
      </c>
    </row>
    <row r="38" spans="1:9" ht="12.75" customHeight="1">
      <c r="A38" s="79"/>
      <c r="B38" s="4" t="s">
        <v>102</v>
      </c>
      <c r="C38" s="4" t="s">
        <v>103</v>
      </c>
      <c r="D38" s="15" t="str">
        <f>IF(AND(E38&gt;0,'[1]Instruct &amp; Input'!$Z$34="Y"),"*"," ")</f>
        <v>*</v>
      </c>
      <c r="E38" s="90">
        <f>'[1]Instruct &amp; Input'!Y32</f>
        <v>4.86</v>
      </c>
      <c r="G38" s="66">
        <f>'[1]Estimates'!B20</f>
        <v>38217000</v>
      </c>
      <c r="I38" s="92">
        <f>ROUND(G38*E38,0)</f>
        <v>185734620</v>
      </c>
    </row>
    <row r="39" spans="1:9" ht="12.75" customHeight="1" thickBot="1">
      <c r="A39" s="93" t="s">
        <v>104</v>
      </c>
      <c r="B39" s="86"/>
      <c r="C39" s="86"/>
      <c r="D39" s="94"/>
      <c r="E39" s="95"/>
      <c r="F39" s="86"/>
      <c r="G39" s="89"/>
      <c r="H39" s="86"/>
      <c r="I39" s="58">
        <f>SUM(I37:I38)</f>
        <v>185734620</v>
      </c>
    </row>
    <row r="40" spans="1:9" ht="12.75" customHeight="1">
      <c r="A40" s="45"/>
      <c r="E40" s="90"/>
      <c r="G40" s="66"/>
      <c r="I40" s="73"/>
    </row>
    <row r="41" spans="1:9" ht="12.75" customHeight="1">
      <c r="A41" s="96" t="s">
        <v>49</v>
      </c>
      <c r="B41" s="75"/>
      <c r="E41" s="90"/>
      <c r="G41" s="66"/>
      <c r="I41" s="73"/>
    </row>
    <row r="42" spans="1:9" ht="12.75" customHeight="1">
      <c r="A42" s="66"/>
      <c r="B42" s="4" t="str">
        <f>'[1]Instruct &amp; Input'!W39</f>
        <v>FSS - Injection</v>
      </c>
      <c r="D42" s="15" t="str">
        <f>IF(AND(E42&gt;0,'[1]Instruct &amp; Input'!$Z$39="Y"),"*"," ")</f>
        <v> </v>
      </c>
      <c r="E42" s="90">
        <f>'[1]Instruct &amp; Input'!Y39</f>
        <v>0.0153</v>
      </c>
      <c r="G42" s="66">
        <f>'[1]Estimates'!I21</f>
        <v>40182000</v>
      </c>
      <c r="I42" s="57">
        <f>ROUND(G42*E42,0)</f>
        <v>614785</v>
      </c>
    </row>
    <row r="43" spans="1:9" ht="12.75" customHeight="1">
      <c r="A43" s="66"/>
      <c r="B43" s="4" t="s">
        <v>105</v>
      </c>
      <c r="D43" s="15" t="str">
        <f>IF(AND(E43&gt;0,'[1]Instruct &amp; Input'!$Z$40="Y"),"*"," ")</f>
        <v> </v>
      </c>
      <c r="E43" s="90">
        <v>0.0153</v>
      </c>
      <c r="G43" s="66">
        <f>'[1]Estimates'!J21</f>
        <v>38217000</v>
      </c>
      <c r="I43" s="92">
        <f>ROUND(G43*E43,0)</f>
        <v>584720</v>
      </c>
    </row>
    <row r="44" spans="1:9" ht="12.75" customHeight="1" thickBot="1">
      <c r="A44" s="89" t="s">
        <v>106</v>
      </c>
      <c r="B44" s="86"/>
      <c r="C44" s="86"/>
      <c r="D44" s="94"/>
      <c r="E44" s="95"/>
      <c r="F44" s="86"/>
      <c r="G44" s="89"/>
      <c r="H44" s="86"/>
      <c r="I44" s="97">
        <f>SUM(I42:I43)</f>
        <v>1199505</v>
      </c>
    </row>
    <row r="45" spans="1:9" ht="12.75" customHeight="1" thickBot="1">
      <c r="A45" s="66"/>
      <c r="E45" s="98"/>
      <c r="G45" s="55"/>
      <c r="I45" s="73"/>
    </row>
    <row r="46" spans="1:9" ht="12.75" customHeight="1" thickBot="1">
      <c r="A46" s="40" t="s">
        <v>107</v>
      </c>
      <c r="B46" s="8"/>
      <c r="C46" s="8"/>
      <c r="D46" s="12"/>
      <c r="E46" s="99"/>
      <c r="F46" s="8"/>
      <c r="G46" s="59"/>
      <c r="H46" s="8"/>
      <c r="I46" s="100">
        <f>SUM(I25:I44)/2</f>
        <v>344476578</v>
      </c>
    </row>
    <row r="47" spans="5:7" ht="12.75" customHeight="1">
      <c r="E47" s="98"/>
      <c r="G47" s="55"/>
    </row>
    <row r="48" ht="12.75" customHeight="1">
      <c r="G48" s="55"/>
    </row>
    <row r="49" spans="1:7" ht="12.75" customHeight="1">
      <c r="A49" s="101"/>
      <c r="B49" s="32" t="s">
        <v>108</v>
      </c>
      <c r="C49" s="4" t="s">
        <v>109</v>
      </c>
      <c r="G49" s="55"/>
    </row>
    <row r="50" spans="1:7" ht="12.75" customHeight="1">
      <c r="A50" s="55"/>
      <c r="C50" s="4" t="s">
        <v>110</v>
      </c>
      <c r="G50" s="55"/>
    </row>
    <row r="51" spans="1:7" ht="12.75" customHeight="1">
      <c r="A51" s="55"/>
      <c r="C51" s="4" t="s">
        <v>111</v>
      </c>
      <c r="G51" s="55"/>
    </row>
    <row r="52" spans="3:7" ht="12.75" customHeight="1">
      <c r="C52" s="4" t="s">
        <v>112</v>
      </c>
      <c r="G52" s="55"/>
    </row>
    <row r="53" ht="12.75" customHeight="1">
      <c r="G53" s="55"/>
    </row>
    <row r="54" spans="3:9" ht="12.75" customHeight="1">
      <c r="C54" s="2"/>
      <c r="E54" s="2"/>
      <c r="F54" s="2"/>
      <c r="G54" s="102"/>
      <c r="H54" s="2"/>
      <c r="I54" s="32" t="s">
        <v>75</v>
      </c>
    </row>
    <row r="55" spans="3:9" ht="12.75" customHeight="1">
      <c r="C55" s="2"/>
      <c r="E55" s="2"/>
      <c r="F55" s="2"/>
      <c r="G55" s="102"/>
      <c r="H55" s="2"/>
      <c r="I55" s="32" t="str">
        <f>IF('[1]Scratch Pad'!C6="N","Page "&amp;'[1]Scratch Pad'!D6&amp;"a of 6","MISCELLANEOUS")</f>
        <v>Page 1a of 6</v>
      </c>
    </row>
    <row r="56" spans="1:9" ht="12.75" customHeight="1">
      <c r="A56" s="2"/>
      <c r="B56" s="103" t="s">
        <v>0</v>
      </c>
      <c r="C56" s="1"/>
      <c r="D56" s="1"/>
      <c r="E56" s="1"/>
      <c r="F56" s="1"/>
      <c r="G56" s="104"/>
      <c r="H56" s="1"/>
      <c r="I56" s="1"/>
    </row>
    <row r="57" spans="1:9" ht="12.75" customHeight="1">
      <c r="A57" s="2"/>
      <c r="B57" s="1"/>
      <c r="C57" s="1"/>
      <c r="D57" s="1"/>
      <c r="E57" s="1"/>
      <c r="F57" s="1"/>
      <c r="G57" s="104"/>
      <c r="H57" s="1"/>
      <c r="I57" s="1"/>
    </row>
    <row r="58" spans="1:9" ht="12.75" customHeight="1">
      <c r="A58" s="2"/>
      <c r="B58" s="5" t="s">
        <v>1</v>
      </c>
      <c r="C58" s="1"/>
      <c r="D58" s="1"/>
      <c r="E58" s="1"/>
      <c r="F58" s="1"/>
      <c r="G58" s="104"/>
      <c r="H58" s="1"/>
      <c r="I58" s="1"/>
    </row>
    <row r="59" spans="1:9" ht="12.75" customHeight="1">
      <c r="A59" s="2"/>
      <c r="B59" s="2"/>
      <c r="C59" s="2"/>
      <c r="D59" s="2"/>
      <c r="E59" s="2"/>
      <c r="F59" s="2"/>
      <c r="G59" s="102"/>
      <c r="H59" s="2"/>
      <c r="I59" s="2"/>
    </row>
    <row r="60" spans="1:9" ht="12.75" customHeight="1">
      <c r="A60" s="2"/>
      <c r="B60" s="2" t="s">
        <v>113</v>
      </c>
      <c r="C60" s="2"/>
      <c r="D60" s="2"/>
      <c r="E60" s="2"/>
      <c r="F60" s="2"/>
      <c r="G60" s="102"/>
      <c r="H60" s="2"/>
      <c r="I60" s="2"/>
    </row>
    <row r="61" spans="1:9" ht="12.75" customHeight="1">
      <c r="A61" s="2"/>
      <c r="B61" s="2"/>
      <c r="C61" s="2"/>
      <c r="D61" s="2"/>
      <c r="E61" s="2"/>
      <c r="F61" s="2"/>
      <c r="G61" s="102"/>
      <c r="H61" s="2"/>
      <c r="I61" s="2"/>
    </row>
    <row r="62" spans="1:9" ht="12.75" customHeight="1">
      <c r="A62" s="2"/>
      <c r="B62" s="105" t="str">
        <f>'[1]Instruct &amp; Input'!C7&amp;" GCR"</f>
        <v>April 29, 2009 GCR</v>
      </c>
      <c r="C62" s="105"/>
      <c r="D62" s="105"/>
      <c r="E62" s="105"/>
      <c r="F62" s="105"/>
      <c r="G62" s="106"/>
      <c r="H62" s="105"/>
      <c r="I62" s="105"/>
    </row>
    <row r="63" spans="2:9" ht="12.75" customHeight="1">
      <c r="B63" s="105"/>
      <c r="C63" s="105"/>
      <c r="D63" s="107"/>
      <c r="E63" s="105"/>
      <c r="F63" s="105"/>
      <c r="G63" s="106"/>
      <c r="H63" s="105"/>
      <c r="I63" s="105"/>
    </row>
    <row r="64" ht="12.75" customHeight="1">
      <c r="G64" s="55"/>
    </row>
    <row r="65" spans="2:7" ht="12.75" customHeight="1">
      <c r="B65" s="108" t="str">
        <f>E12</f>
        <v>Columbia Gas Transmission Corp</v>
      </c>
      <c r="G65" s="55"/>
    </row>
    <row r="66" ht="12.75" customHeight="1">
      <c r="G66" s="55"/>
    </row>
    <row r="67" ht="12.75" customHeight="1">
      <c r="G67" s="55"/>
    </row>
    <row r="68" spans="2:7" ht="12.75" customHeight="1">
      <c r="B68" s="109" t="s">
        <v>114</v>
      </c>
      <c r="G68" s="55"/>
    </row>
    <row r="69" ht="12.75" customHeight="1">
      <c r="G69" s="55"/>
    </row>
    <row r="70" spans="2:9" ht="12.75" customHeight="1">
      <c r="B70" s="4" t="str">
        <f>'[1]Demand'!A28</f>
        <v>Reservation Charge</v>
      </c>
      <c r="G70" s="55"/>
      <c r="I70" s="98">
        <f>'[1]Demand'!B28</f>
        <v>5.442</v>
      </c>
    </row>
    <row r="71" spans="2:9" ht="12.75" customHeight="1">
      <c r="B71" s="4" t="str">
        <f>'[1]Demand'!A29</f>
        <v>TCRA Current Rate</v>
      </c>
      <c r="G71" s="55"/>
      <c r="I71" s="98">
        <f>'[1]Demand'!B29</f>
        <v>0.341</v>
      </c>
    </row>
    <row r="72" spans="2:9" ht="12.75" customHeight="1">
      <c r="B72" s="4" t="str">
        <f>'[1]Demand'!A30</f>
        <v>TCRA Surcharge</v>
      </c>
      <c r="G72" s="55"/>
      <c r="I72" s="98">
        <f>'[1]Demand'!B30</f>
        <v>0.023</v>
      </c>
    </row>
    <row r="73" spans="2:9" ht="12.75" customHeight="1">
      <c r="B73" s="4" t="str">
        <f>'[1]Demand'!A31</f>
        <v>EPCA Current Rate</v>
      </c>
      <c r="G73" s="55"/>
      <c r="I73" s="98">
        <f>'[1]Demand'!B31</f>
        <v>0.042</v>
      </c>
    </row>
    <row r="74" spans="2:9" ht="12.75" customHeight="1">
      <c r="B74" s="4" t="str">
        <f>'[1]Demand'!A32</f>
        <v>EPCA Surcharge</v>
      </c>
      <c r="G74" s="55"/>
      <c r="I74" s="99">
        <f>'[1]Demand'!B32</f>
        <v>0.002</v>
      </c>
    </row>
    <row r="75" ht="12.75" customHeight="1" thickBot="1">
      <c r="G75" s="55"/>
    </row>
    <row r="76" spans="2:9" ht="12.75" customHeight="1" thickBot="1">
      <c r="B76" s="4" t="str">
        <f>'[1]Demand'!A37</f>
        <v>TOTAL</v>
      </c>
      <c r="G76" s="55"/>
      <c r="I76" s="110">
        <f>'[1]Demand'!B37</f>
        <v>5.85</v>
      </c>
    </row>
    <row r="77" ht="12.75" customHeight="1">
      <c r="G77" s="55"/>
    </row>
    <row r="78" ht="12.75" customHeight="1">
      <c r="G78" s="55"/>
    </row>
    <row r="79" spans="2:7" ht="12.75" customHeight="1">
      <c r="B79" s="109" t="s">
        <v>115</v>
      </c>
      <c r="G79" s="55"/>
    </row>
    <row r="80" ht="12.75" customHeight="1">
      <c r="G80" s="55"/>
    </row>
    <row r="81" spans="2:9" ht="12.75" customHeight="1">
      <c r="B81" s="4" t="str">
        <f>'[1]Demand'!A104</f>
        <v>Reservation Charge</v>
      </c>
      <c r="G81" s="55"/>
      <c r="I81" s="98">
        <f>'[1]Demand'!B104</f>
        <v>5.612</v>
      </c>
    </row>
    <row r="82" spans="2:9" ht="12.75" customHeight="1">
      <c r="B82" s="4" t="str">
        <f>'[1]Demand'!A105</f>
        <v>TCRA Current Rate</v>
      </c>
      <c r="G82" s="55"/>
      <c r="I82" s="98">
        <f>'[1]Demand'!B105</f>
        <v>0.341</v>
      </c>
    </row>
    <row r="83" spans="2:9" ht="12.75" customHeight="1">
      <c r="B83" s="4" t="str">
        <f>'[1]Demand'!A106</f>
        <v>TCRA Surcharge</v>
      </c>
      <c r="G83" s="55"/>
      <c r="I83" s="98">
        <f>'[1]Demand'!B106</f>
        <v>0.023</v>
      </c>
    </row>
    <row r="84" spans="2:9" ht="12.75" customHeight="1">
      <c r="B84" s="4" t="str">
        <f>'[1]Demand'!A107</f>
        <v>EPCA Current Rate</v>
      </c>
      <c r="G84" s="55"/>
      <c r="I84" s="98">
        <f>'[1]Demand'!B107</f>
        <v>0.042</v>
      </c>
    </row>
    <row r="85" spans="2:9" ht="12.75" customHeight="1">
      <c r="B85" s="4" t="str">
        <f>'[1]Demand'!A108</f>
        <v>EPCA Surcharge</v>
      </c>
      <c r="G85" s="55"/>
      <c r="I85" s="98">
        <f>'[1]Demand'!B108</f>
        <v>0.002</v>
      </c>
    </row>
    <row r="86" spans="2:9" ht="12.75" customHeight="1">
      <c r="B86" s="4" t="str">
        <f>'[1]Demand'!A109</f>
        <v>R &amp; D Funding</v>
      </c>
      <c r="G86" s="55"/>
      <c r="I86" s="99">
        <f>'[1]Demand'!B109</f>
        <v>0</v>
      </c>
    </row>
    <row r="87" ht="12.75" customHeight="1" thickBot="1">
      <c r="G87" s="55"/>
    </row>
    <row r="88" spans="2:9" ht="12.75" customHeight="1" thickBot="1">
      <c r="B88" s="4" t="str">
        <f>'[1]Demand'!A113</f>
        <v>TOTAL</v>
      </c>
      <c r="G88" s="55"/>
      <c r="I88" s="110">
        <f>'[1]Demand'!B113</f>
        <v>6.02</v>
      </c>
    </row>
    <row r="89" ht="12.75" customHeight="1">
      <c r="G89" s="55"/>
    </row>
    <row r="90" ht="12.75" customHeight="1">
      <c r="G90" s="55"/>
    </row>
    <row r="91" spans="1:9" ht="12.75" customHeight="1">
      <c r="A91" s="32"/>
      <c r="I91" s="32" t="s">
        <v>75</v>
      </c>
    </row>
    <row r="92" spans="1:9" ht="12.75" customHeight="1">
      <c r="A92" s="32"/>
      <c r="I92" s="32" t="str">
        <f>IF('[1]Scratch Pad'!C7="N","Page "&amp;'[1]Scratch Pad'!D7&amp;" of 6","MISCELLANEOUS")</f>
        <v>Page 2 of 6</v>
      </c>
    </row>
    <row r="93" spans="1:9" ht="12.75" customHeight="1">
      <c r="A93" s="2" t="s">
        <v>0</v>
      </c>
      <c r="B93" s="2"/>
      <c r="C93" s="2"/>
      <c r="D93" s="2"/>
      <c r="E93" s="2"/>
      <c r="F93" s="2"/>
      <c r="G93" s="2"/>
      <c r="H93" s="2"/>
      <c r="I93" s="2"/>
    </row>
    <row r="94" spans="1:9" ht="12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2.75" customHeight="1">
      <c r="A95" s="33" t="s">
        <v>1</v>
      </c>
      <c r="B95" s="2"/>
      <c r="C95" s="2"/>
      <c r="D95" s="2"/>
      <c r="E95" s="2"/>
      <c r="F95" s="2"/>
      <c r="G95" s="2"/>
      <c r="H95" s="2"/>
      <c r="I95" s="2"/>
    </row>
    <row r="96" spans="1:9" ht="12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2.75" customHeight="1">
      <c r="A97" s="2" t="s">
        <v>76</v>
      </c>
      <c r="B97" s="2"/>
      <c r="C97" s="2"/>
      <c r="D97" s="2"/>
      <c r="E97" s="2"/>
      <c r="F97" s="2"/>
      <c r="G97" s="2"/>
      <c r="H97" s="2"/>
      <c r="I97" s="2"/>
    </row>
    <row r="99" spans="3:6" ht="12.75" customHeight="1">
      <c r="C99" s="32" t="s">
        <v>42</v>
      </c>
      <c r="D99" s="12"/>
      <c r="E99" s="62" t="str">
        <f>$E$9</f>
        <v>April 29, 2009</v>
      </c>
      <c r="F99" s="4" t="s">
        <v>43</v>
      </c>
    </row>
    <row r="100" spans="3:5" ht="12.75" customHeight="1">
      <c r="C100" s="32" t="s">
        <v>44</v>
      </c>
      <c r="D100" s="12"/>
      <c r="E100" s="62" t="str">
        <f>E$10</f>
        <v>April 30, 2010</v>
      </c>
    </row>
    <row r="102" spans="1:9" ht="12.75" customHeight="1">
      <c r="A102" s="46"/>
      <c r="C102" s="32" t="s">
        <v>77</v>
      </c>
      <c r="D102" s="12"/>
      <c r="E102" s="63" t="s">
        <v>116</v>
      </c>
      <c r="F102" s="8"/>
      <c r="G102" s="8"/>
      <c r="H102" s="8"/>
      <c r="I102" s="8"/>
    </row>
    <row r="103" spans="1:9" ht="12.75" customHeight="1">
      <c r="A103" s="64"/>
      <c r="C103" s="32" t="s">
        <v>78</v>
      </c>
      <c r="D103" s="12"/>
      <c r="E103" s="63" t="s">
        <v>79</v>
      </c>
      <c r="F103" s="8"/>
      <c r="G103" s="8"/>
      <c r="H103" s="8"/>
      <c r="I103" s="8"/>
    </row>
    <row r="104" spans="3:9" ht="12.75" customHeight="1">
      <c r="C104" s="32" t="s">
        <v>80</v>
      </c>
      <c r="D104" s="12"/>
      <c r="E104" s="62">
        <f>'[1]Demand'!Z2873</f>
        <v>39722</v>
      </c>
      <c r="H104" s="32" t="s">
        <v>81</v>
      </c>
      <c r="I104" s="111" t="str">
        <f>IF(ISBLANK('[1]Demand'!AA2873)," ",'[1]Demand'!AA2873)</f>
        <v>18 &amp; 18A</v>
      </c>
    </row>
    <row r="106" spans="1:9" ht="12.75" customHeight="1">
      <c r="A106" s="55"/>
      <c r="C106" s="32" t="s">
        <v>82</v>
      </c>
      <c r="D106" s="12" t="s">
        <v>83</v>
      </c>
      <c r="E106" s="4" t="s">
        <v>84</v>
      </c>
      <c r="F106" s="12"/>
      <c r="G106" s="4" t="s">
        <v>85</v>
      </c>
      <c r="H106" s="12"/>
      <c r="I106" s="4" t="s">
        <v>86</v>
      </c>
    </row>
    <row r="107" spans="1:9" ht="12.75" customHeight="1">
      <c r="A107" s="55"/>
      <c r="C107" s="32" t="s">
        <v>87</v>
      </c>
      <c r="D107" s="12"/>
      <c r="E107" s="4" t="s">
        <v>88</v>
      </c>
      <c r="F107" s="12" t="s">
        <v>83</v>
      </c>
      <c r="G107" s="4" t="s">
        <v>89</v>
      </c>
      <c r="H107" s="12"/>
      <c r="I107" s="4" t="s">
        <v>90</v>
      </c>
    </row>
    <row r="108" spans="1:8" ht="12.75" customHeight="1">
      <c r="A108" s="55"/>
      <c r="C108" s="32" t="s">
        <v>91</v>
      </c>
      <c r="D108" s="12" t="s">
        <v>83</v>
      </c>
      <c r="E108" s="4" t="s">
        <v>92</v>
      </c>
      <c r="F108" s="12"/>
      <c r="G108" s="4" t="s">
        <v>93</v>
      </c>
      <c r="H108" s="15"/>
    </row>
    <row r="109" ht="12.75" customHeight="1">
      <c r="A109" s="55"/>
    </row>
    <row r="110" spans="1:9" ht="12.75" customHeight="1">
      <c r="A110" s="59"/>
      <c r="B110" s="9"/>
      <c r="C110" s="9"/>
      <c r="D110" s="12"/>
      <c r="E110" s="9"/>
      <c r="F110" s="9"/>
      <c r="G110" s="9"/>
      <c r="H110" s="9"/>
      <c r="I110" s="9"/>
    </row>
    <row r="111" spans="1:9" ht="12.75" customHeight="1">
      <c r="A111" s="66"/>
      <c r="B111" s="7"/>
      <c r="C111" s="7"/>
      <c r="D111" s="67"/>
      <c r="E111" s="68" t="s">
        <v>94</v>
      </c>
      <c r="F111" s="7"/>
      <c r="G111" s="68" t="s">
        <v>95</v>
      </c>
      <c r="H111" s="7"/>
      <c r="I111" s="69" t="s">
        <v>96</v>
      </c>
    </row>
    <row r="112" spans="1:9" ht="12.75" customHeight="1">
      <c r="A112" s="70"/>
      <c r="B112" s="9" t="s">
        <v>97</v>
      </c>
      <c r="C112" s="9"/>
      <c r="D112" s="12"/>
      <c r="E112" s="71" t="s">
        <v>98</v>
      </c>
      <c r="F112" s="9"/>
      <c r="G112" s="71" t="s">
        <v>99</v>
      </c>
      <c r="H112" s="9"/>
      <c r="I112" s="72" t="s">
        <v>100</v>
      </c>
    </row>
    <row r="113" spans="1:9" ht="12.75" customHeight="1">
      <c r="A113" s="66"/>
      <c r="E113" s="45"/>
      <c r="G113" s="45"/>
      <c r="I113" s="73"/>
    </row>
    <row r="114" spans="1:9" ht="12.75" customHeight="1">
      <c r="A114" s="74" t="s">
        <v>47</v>
      </c>
      <c r="B114" s="75"/>
      <c r="E114" s="45"/>
      <c r="G114" s="45"/>
      <c r="I114" s="73"/>
    </row>
    <row r="115" spans="1:9" ht="12.75" customHeight="1">
      <c r="A115" s="66"/>
      <c r="B115" s="4" t="str">
        <f>IF(AND(ISBLANK('[1]Demand'!Y2873),'[1]Demand'!T2873&gt;0),'[1]Demand'!T2873," ")</f>
        <v>Firm Trans Service</v>
      </c>
      <c r="C115" s="15" t="str">
        <f>IF(AND(ISBLANK('[1]Demand'!Y2873),'[1]Demand'!S2873&gt;0),'[1]Demand'!S2873," ")</f>
        <v>FTS-1</v>
      </c>
      <c r="D115" s="15" t="str">
        <f>IF(AND(E115&gt;0,'[1]Demand'!AB2873="Y"),"*"," ")</f>
        <v> </v>
      </c>
      <c r="E115" s="76">
        <f>IF(AND(ISBLANK('[1]Demand'!Y2873),'[1]Demand'!U2873&gt;0),'[1]Demand'!U2873," ")</f>
        <v>3.145</v>
      </c>
      <c r="F115" s="46"/>
      <c r="G115" s="77">
        <f>IF(AND(ISBLANK('[1]Demand'!Y2873),'[1]Demand'!V2873&gt;0),'[1]Demand'!V2873," ")</f>
        <v>4402788</v>
      </c>
      <c r="H115" s="46"/>
      <c r="I115" s="78">
        <f>IF(AND(ISBLANK('[1]Demand'!Y2873),'[1]Demand'!W2873&gt;0),'[1]Demand'!W2873," ")</f>
        <v>13846768</v>
      </c>
    </row>
    <row r="116" spans="1:9" ht="12.75" customHeight="1">
      <c r="A116" s="79"/>
      <c r="B116" s="4" t="str">
        <f>IF(AND(ISBLANK('[1]Demand'!Y2874),'[1]Demand'!T2874&gt;0),'[1]Demand'!T2874," ")</f>
        <v> </v>
      </c>
      <c r="C116" s="15" t="str">
        <f>IF(AND(ISBLANK('[1]Demand'!Y2874),'[1]Demand'!S2874&gt;0),'[1]Demand'!S2874," ")</f>
        <v> </v>
      </c>
      <c r="D116" s="15" t="str">
        <f>IF(AND(E116&gt;0,'[1]Demand'!AB2874="Y"),"*"," ")</f>
        <v> </v>
      </c>
      <c r="E116" s="76" t="str">
        <f>IF(AND(ISBLANK('[1]Demand'!Y2874),'[1]Demand'!U2874&gt;0),'[1]Demand'!U2874," ")</f>
        <v> </v>
      </c>
      <c r="F116" s="46"/>
      <c r="G116" s="77" t="str">
        <f>IF(AND(ISBLANK('[1]Demand'!Y2874),'[1]Demand'!V2874&gt;0),'[1]Demand'!V2874," ")</f>
        <v> </v>
      </c>
      <c r="H116" s="46"/>
      <c r="I116" s="78" t="str">
        <f>IF(AND(ISBLANK('[1]Demand'!Y2874),'[1]Demand'!W2874&gt;0),'[1]Demand'!W2874," ")</f>
        <v> </v>
      </c>
    </row>
    <row r="117" spans="1:9" ht="12.75" customHeight="1">
      <c r="A117" s="66"/>
      <c r="B117" s="4" t="str">
        <f>IF(AND(ISBLANK('[1]Demand'!Y2875),'[1]Demand'!T2875&gt;0),'[1]Demand'!T2875," ")</f>
        <v> </v>
      </c>
      <c r="C117" s="15" t="str">
        <f>IF(AND(ISBLANK('[1]Demand'!Y2875),'[1]Demand'!S2875&gt;0),'[1]Demand'!S2875," ")</f>
        <v> </v>
      </c>
      <c r="D117" s="15" t="str">
        <f>IF(AND(E117&gt;0,'[1]Demand'!AB2875="Y"),"*"," ")</f>
        <v> </v>
      </c>
      <c r="E117" s="76" t="str">
        <f>IF(AND(ISBLANK('[1]Demand'!Y2875),'[1]Demand'!U2875&gt;0),'[1]Demand'!U2875," ")</f>
        <v> </v>
      </c>
      <c r="F117" s="46"/>
      <c r="G117" s="77" t="str">
        <f>IF(AND(ISBLANK('[1]Demand'!Y2875),'[1]Demand'!V2875&gt;0),'[1]Demand'!V2875," ")</f>
        <v> </v>
      </c>
      <c r="H117" s="46"/>
      <c r="I117" s="78" t="str">
        <f>IF(AND(ISBLANK('[1]Demand'!Y2875),'[1]Demand'!W2875&gt;0),'[1]Demand'!W2875," ")</f>
        <v> </v>
      </c>
    </row>
    <row r="118" spans="1:9" ht="12.75" customHeight="1">
      <c r="A118" s="66"/>
      <c r="B118" s="4" t="str">
        <f>IF(AND(ISBLANK('[1]Demand'!Y2876),'[1]Demand'!T2876&gt;0),'[1]Demand'!T2876," ")</f>
        <v> </v>
      </c>
      <c r="C118" s="15" t="str">
        <f>IF(AND(ISBLANK('[1]Demand'!Y2876),'[1]Demand'!S2876&gt;0),'[1]Demand'!S2876," ")</f>
        <v> </v>
      </c>
      <c r="D118" s="15" t="str">
        <f>IF(AND(E118&gt;0,'[1]Demand'!AB2876="Y"),"*"," ")</f>
        <v> </v>
      </c>
      <c r="E118" s="76" t="str">
        <f>IF(AND(ISBLANK('[1]Demand'!Y2876),'[1]Demand'!U2876&gt;0),'[1]Demand'!U2876," ")</f>
        <v> </v>
      </c>
      <c r="F118" s="46"/>
      <c r="G118" s="77" t="str">
        <f>IF(AND(ISBLANK('[1]Demand'!Y2876),'[1]Demand'!V2876&gt;0),'[1]Demand'!V2876," ")</f>
        <v> </v>
      </c>
      <c r="H118" s="46"/>
      <c r="I118" s="78" t="str">
        <f>IF(AND(ISBLANK('[1]Demand'!Y2876),'[1]Demand'!W2876&gt;0),'[1]Demand'!W2876," ")</f>
        <v> </v>
      </c>
    </row>
    <row r="119" spans="1:9" ht="12.75" customHeight="1">
      <c r="A119" s="66"/>
      <c r="B119" s="4" t="str">
        <f>IF(AND(ISBLANK('[1]Demand'!Y2877),'[1]Demand'!T2877&gt;0),'[1]Demand'!T2877," ")</f>
        <v> </v>
      </c>
      <c r="C119" s="15" t="str">
        <f>IF(AND(ISBLANK('[1]Demand'!Y2877),'[1]Demand'!S2877&gt;0),'[1]Demand'!S2877," ")</f>
        <v> </v>
      </c>
      <c r="D119" s="15" t="str">
        <f>IF(AND(E119&gt;0,'[1]Demand'!AB2877="Y"),"*"," ")</f>
        <v> </v>
      </c>
      <c r="E119" s="76" t="str">
        <f>IF(AND(ISBLANK('[1]Demand'!Y2877),'[1]Demand'!U2877&gt;0),'[1]Demand'!U2877," ")</f>
        <v> </v>
      </c>
      <c r="F119" s="46"/>
      <c r="G119" s="77" t="str">
        <f>IF(AND(ISBLANK('[1]Demand'!Y2877),'[1]Demand'!V2877&gt;0),'[1]Demand'!V2877," ")</f>
        <v> </v>
      </c>
      <c r="H119" s="46"/>
      <c r="I119" s="78" t="str">
        <f>IF(AND(ISBLANK('[1]Demand'!Y2877),'[1]Demand'!W2877&gt;0),'[1]Demand'!W2877," ")</f>
        <v> </v>
      </c>
    </row>
    <row r="120" spans="1:9" ht="12.75" customHeight="1">
      <c r="A120" s="66"/>
      <c r="B120" s="4" t="str">
        <f>IF(AND(ISBLANK('[1]Demand'!Y2878),'[1]Demand'!T2878&gt;0),'[1]Demand'!T2878," ")</f>
        <v> </v>
      </c>
      <c r="C120" s="15" t="str">
        <f>IF(AND(ISBLANK('[1]Demand'!Y2878),'[1]Demand'!S2878&gt;0),'[1]Demand'!S2878," ")</f>
        <v> </v>
      </c>
      <c r="D120" s="15" t="str">
        <f>IF(AND(E120&gt;0,'[1]Demand'!AB2878="Y"),"*"," ")</f>
        <v> </v>
      </c>
      <c r="E120" s="76" t="str">
        <f>IF(AND(ISBLANK('[1]Demand'!Y2878),'[1]Demand'!U2878&gt;0),'[1]Demand'!U2878," ")</f>
        <v> </v>
      </c>
      <c r="F120" s="46"/>
      <c r="G120" s="77" t="str">
        <f>IF(AND(ISBLANK('[1]Demand'!Y2878),'[1]Demand'!V2878&gt;0),'[1]Demand'!V2878," ")</f>
        <v> </v>
      </c>
      <c r="H120" s="46"/>
      <c r="I120" s="78" t="str">
        <f>IF(AND(ISBLANK('[1]Demand'!Y2878),'[1]Demand'!W2878&gt;0),'[1]Demand'!W2878," ")</f>
        <v> </v>
      </c>
    </row>
    <row r="121" spans="1:9" ht="12.75" customHeight="1">
      <c r="A121" s="66"/>
      <c r="B121" s="4" t="str">
        <f>IF(AND(ISBLANK('[1]Demand'!Y2879),'[1]Demand'!T2879&gt;0),'[1]Demand'!T2879," ")</f>
        <v> </v>
      </c>
      <c r="C121" s="15" t="str">
        <f>IF(AND(ISBLANK('[1]Demand'!Y2879),'[1]Demand'!S2879&gt;0),'[1]Demand'!S2879," ")</f>
        <v> </v>
      </c>
      <c r="D121" s="15" t="str">
        <f>IF(AND(E121&gt;0,'[1]Demand'!AB2879="Y"),"*"," ")</f>
        <v> </v>
      </c>
      <c r="E121" s="76" t="str">
        <f>IF(AND(ISBLANK('[1]Demand'!Y2879),'[1]Demand'!U2879&gt;0),'[1]Demand'!U2879," ")</f>
        <v> </v>
      </c>
      <c r="F121" s="46"/>
      <c r="G121" s="77" t="str">
        <f>IF(AND(ISBLANK('[1]Demand'!Y2879),'[1]Demand'!V2879&gt;0),'[1]Demand'!V2879," ")</f>
        <v> </v>
      </c>
      <c r="H121" s="46"/>
      <c r="I121" s="78" t="str">
        <f>IF(AND(ISBLANK('[1]Demand'!Y2879),'[1]Demand'!W2879&gt;0),'[1]Demand'!W2879," ")</f>
        <v> </v>
      </c>
    </row>
    <row r="122" spans="1:9" ht="12.75" customHeight="1">
      <c r="A122" s="66"/>
      <c r="B122" s="4" t="str">
        <f>IF(AND(ISBLANK('[1]Demand'!Y2880),'[1]Demand'!T2880&gt;0),'[1]Demand'!T2880," ")</f>
        <v> </v>
      </c>
      <c r="C122" s="15" t="str">
        <f>IF(AND(ISBLANK('[1]Demand'!Y2880),'[1]Demand'!S2880&gt;0),'[1]Demand'!S2880," ")</f>
        <v> </v>
      </c>
      <c r="D122" s="15" t="str">
        <f>IF(AND(E122&gt;0,'[1]Demand'!AB2880="Y"),"*"," ")</f>
        <v> </v>
      </c>
      <c r="E122" s="76" t="str">
        <f>IF(AND(ISBLANK('[1]Demand'!Y2880),'[1]Demand'!U2880&gt;0),'[1]Demand'!U2880," ")</f>
        <v> </v>
      </c>
      <c r="F122" s="46"/>
      <c r="G122" s="77" t="str">
        <f>IF(AND(ISBLANK('[1]Demand'!Y2880),'[1]Demand'!V2880&gt;0),'[1]Demand'!V2880," ")</f>
        <v> </v>
      </c>
      <c r="H122" s="46"/>
      <c r="I122" s="78" t="str">
        <f>IF(AND(ISBLANK('[1]Demand'!Y2880),'[1]Demand'!W2880&gt;0),'[1]Demand'!W2880," ")</f>
        <v> </v>
      </c>
    </row>
    <row r="123" spans="1:9" ht="12.75" customHeight="1">
      <c r="A123" s="66"/>
      <c r="B123" s="4" t="str">
        <f>IF(AND(ISBLANK('[1]Demand'!Y2881),'[1]Demand'!T2881&gt;0),'[1]Demand'!T2881," ")</f>
        <v> </v>
      </c>
      <c r="C123" s="15" t="str">
        <f>IF(AND(ISBLANK('[1]Demand'!Y2881),'[1]Demand'!S2881&gt;0),'[1]Demand'!S2881," ")</f>
        <v> </v>
      </c>
      <c r="D123" s="15" t="str">
        <f>IF(AND(E123&gt;0,'[1]Demand'!AB2881="Y"),"*"," ")</f>
        <v> </v>
      </c>
      <c r="E123" s="76" t="str">
        <f>IF(AND(ISBLANK('[1]Demand'!Y2881),'[1]Demand'!U2881&gt;0),'[1]Demand'!U2881," ")</f>
        <v> </v>
      </c>
      <c r="F123" s="46"/>
      <c r="G123" s="77" t="str">
        <f>IF(AND(ISBLANK('[1]Demand'!Y2881),'[1]Demand'!V2881&gt;0),'[1]Demand'!V2881," ")</f>
        <v> </v>
      </c>
      <c r="H123" s="46"/>
      <c r="I123" s="78" t="str">
        <f>IF(AND(ISBLANK('[1]Demand'!Y2881),'[1]Demand'!W2881&gt;0),'[1]Demand'!W2881," ")</f>
        <v> </v>
      </c>
    </row>
    <row r="124" spans="1:9" ht="12.75" customHeight="1" thickBot="1">
      <c r="A124" s="89" t="s">
        <v>117</v>
      </c>
      <c r="B124" s="86"/>
      <c r="C124" s="86"/>
      <c r="D124" s="94"/>
      <c r="E124" s="95"/>
      <c r="F124" s="86"/>
      <c r="G124" s="89"/>
      <c r="H124" s="86"/>
      <c r="I124" s="58">
        <f>SUM(I115:I123)</f>
        <v>13846768</v>
      </c>
    </row>
    <row r="125" spans="1:9" ht="12.75" customHeight="1">
      <c r="A125" s="66"/>
      <c r="E125" s="90"/>
      <c r="G125" s="66"/>
      <c r="I125" s="57"/>
    </row>
    <row r="126" spans="1:9" ht="12.75" customHeight="1">
      <c r="A126" s="91" t="s">
        <v>48</v>
      </c>
      <c r="B126" s="75"/>
      <c r="E126" s="90"/>
      <c r="G126" s="66"/>
      <c r="I126" s="73"/>
    </row>
    <row r="127" spans="1:9" ht="12.75" customHeight="1">
      <c r="A127" s="66"/>
      <c r="B127" s="4" t="s">
        <v>48</v>
      </c>
      <c r="D127" s="15" t="str">
        <f>IF(AND(E127&gt;0,'[1]Instruct &amp; Input'!$Z$34="Y"),"*"," ")</f>
        <v> </v>
      </c>
      <c r="E127" s="90"/>
      <c r="G127" s="66"/>
      <c r="I127" s="57"/>
    </row>
    <row r="128" spans="1:9" ht="12.75" customHeight="1">
      <c r="A128" s="79"/>
      <c r="B128" s="4" t="s">
        <v>102</v>
      </c>
      <c r="C128" s="4" t="s">
        <v>103</v>
      </c>
      <c r="D128" s="15" t="str">
        <f>IF(AND(E128&gt;0,'[1]Instruct &amp; Input'!$Z$34="Y"),"*"," ")</f>
        <v> </v>
      </c>
      <c r="E128" s="90"/>
      <c r="G128" s="66"/>
      <c r="I128" s="92"/>
    </row>
    <row r="129" spans="1:9" ht="12.75" customHeight="1" thickBot="1">
      <c r="A129" s="93" t="s">
        <v>104</v>
      </c>
      <c r="B129" s="86"/>
      <c r="C129" s="86"/>
      <c r="D129" s="94"/>
      <c r="E129" s="95"/>
      <c r="F129" s="86"/>
      <c r="G129" s="89"/>
      <c r="H129" s="86"/>
      <c r="I129" s="58">
        <f>SUM(I127:I128)</f>
        <v>0</v>
      </c>
    </row>
    <row r="130" spans="1:9" ht="12.75" customHeight="1">
      <c r="A130" s="45"/>
      <c r="E130" s="90"/>
      <c r="G130" s="66"/>
      <c r="I130" s="73"/>
    </row>
    <row r="131" spans="1:9" ht="12.75" customHeight="1">
      <c r="A131" s="96" t="s">
        <v>49</v>
      </c>
      <c r="B131" s="75"/>
      <c r="E131" s="90"/>
      <c r="G131" s="66"/>
      <c r="I131" s="73"/>
    </row>
    <row r="132" spans="1:9" ht="12.75" customHeight="1">
      <c r="A132" s="66"/>
      <c r="B132" s="4" t="s">
        <v>118</v>
      </c>
      <c r="E132" s="90"/>
      <c r="G132" s="66"/>
      <c r="I132" s="57"/>
    </row>
    <row r="133" spans="1:9" ht="12.75" customHeight="1">
      <c r="A133" s="66"/>
      <c r="B133" s="4" t="s">
        <v>119</v>
      </c>
      <c r="E133" s="90"/>
      <c r="G133" s="66"/>
      <c r="I133" s="92"/>
    </row>
    <row r="134" spans="1:9" ht="12.75" customHeight="1" thickBot="1">
      <c r="A134" s="89" t="s">
        <v>106</v>
      </c>
      <c r="B134" s="86"/>
      <c r="C134" s="86"/>
      <c r="D134" s="94"/>
      <c r="E134" s="95"/>
      <c r="F134" s="86"/>
      <c r="G134" s="89"/>
      <c r="H134" s="86"/>
      <c r="I134" s="97">
        <f>SUM(I132:I133)</f>
        <v>0</v>
      </c>
    </row>
    <row r="135" spans="1:9" ht="12.75" customHeight="1">
      <c r="A135" s="55"/>
      <c r="E135" s="98"/>
      <c r="G135" s="55"/>
      <c r="I135" s="73"/>
    </row>
    <row r="136" spans="1:9" ht="12.75" customHeight="1" thickBot="1">
      <c r="A136" s="4" t="s">
        <v>107</v>
      </c>
      <c r="E136" s="98"/>
      <c r="G136" s="55"/>
      <c r="I136" s="58">
        <f>SUM(I115:I134)/2</f>
        <v>13846768</v>
      </c>
    </row>
    <row r="137" spans="5:7" ht="12.75" customHeight="1">
      <c r="E137" s="98"/>
      <c r="G137" s="55"/>
    </row>
    <row r="138" ht="12.75" customHeight="1">
      <c r="G138" s="55"/>
    </row>
    <row r="139" spans="1:7" ht="12.75" customHeight="1">
      <c r="A139" s="101"/>
      <c r="B139" s="32" t="s">
        <v>108</v>
      </c>
      <c r="C139" s="4" t="s">
        <v>109</v>
      </c>
      <c r="G139" s="55"/>
    </row>
    <row r="140" spans="1:7" ht="12.75" customHeight="1">
      <c r="A140" s="55"/>
      <c r="C140" s="4" t="s">
        <v>110</v>
      </c>
      <c r="G140" s="55"/>
    </row>
    <row r="141" spans="1:7" ht="12.75" customHeight="1">
      <c r="A141" s="55"/>
      <c r="C141" s="4" t="s">
        <v>111</v>
      </c>
      <c r="G141" s="55"/>
    </row>
    <row r="142" spans="3:7" ht="12.75" customHeight="1">
      <c r="C142" s="4" t="s">
        <v>112</v>
      </c>
      <c r="G142" s="55"/>
    </row>
    <row r="143" ht="12.75" customHeight="1">
      <c r="G143" s="55"/>
    </row>
    <row r="144" spans="1:9" ht="12.75" customHeight="1">
      <c r="A144" s="32"/>
      <c r="I144" s="32" t="s">
        <v>75</v>
      </c>
    </row>
    <row r="145" spans="1:9" ht="12.75" customHeight="1">
      <c r="A145" s="32"/>
      <c r="I145" s="32" t="str">
        <f>IF('[1]Scratch Pad'!C8="N","Page "&amp;'[1]Scratch Pad'!D8&amp;" of 6","MISCELLANEOUS")</f>
        <v>Page 3 of 6</v>
      </c>
    </row>
    <row r="146" spans="1:9" ht="12.75" customHeight="1">
      <c r="A146" s="2" t="s">
        <v>0</v>
      </c>
      <c r="B146" s="2"/>
      <c r="C146" s="2"/>
      <c r="D146" s="2"/>
      <c r="E146" s="2"/>
      <c r="F146" s="2"/>
      <c r="G146" s="2"/>
      <c r="H146" s="2"/>
      <c r="I146" s="2"/>
    </row>
    <row r="147" spans="1:9" ht="12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 customHeight="1">
      <c r="A148" s="33" t="s">
        <v>1</v>
      </c>
      <c r="B148" s="2"/>
      <c r="C148" s="2"/>
      <c r="D148" s="2"/>
      <c r="E148" s="2"/>
      <c r="F148" s="2"/>
      <c r="G148" s="2"/>
      <c r="H148" s="2"/>
      <c r="I148" s="2"/>
    </row>
    <row r="149" spans="1:9" ht="12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 customHeight="1">
      <c r="A150" s="2" t="s">
        <v>76</v>
      </c>
      <c r="B150" s="2"/>
      <c r="C150" s="2"/>
      <c r="D150" s="2"/>
      <c r="E150" s="2"/>
      <c r="F150" s="2"/>
      <c r="G150" s="2"/>
      <c r="H150" s="2"/>
      <c r="I150" s="2"/>
    </row>
    <row r="152" spans="3:6" ht="12.75" customHeight="1">
      <c r="C152" s="32" t="s">
        <v>42</v>
      </c>
      <c r="D152" s="12"/>
      <c r="E152" s="62" t="str">
        <f>$E$9</f>
        <v>April 29, 2009</v>
      </c>
      <c r="F152" s="4" t="s">
        <v>43</v>
      </c>
    </row>
    <row r="153" spans="3:5" ht="12.75" customHeight="1">
      <c r="C153" s="32" t="s">
        <v>44</v>
      </c>
      <c r="D153" s="12"/>
      <c r="E153" s="62" t="str">
        <f>E$10</f>
        <v>April 30, 2010</v>
      </c>
    </row>
    <row r="155" spans="1:9" ht="12.75" customHeight="1">
      <c r="A155" s="46"/>
      <c r="C155" s="32" t="s">
        <v>77</v>
      </c>
      <c r="D155" s="12"/>
      <c r="E155" s="63" t="s">
        <v>120</v>
      </c>
      <c r="F155" s="8"/>
      <c r="G155" s="8"/>
      <c r="H155" s="8"/>
      <c r="I155" s="8"/>
    </row>
    <row r="156" spans="1:9" ht="12.75" customHeight="1">
      <c r="A156" s="64"/>
      <c r="C156" s="32" t="s">
        <v>78</v>
      </c>
      <c r="D156" s="12"/>
      <c r="E156" s="63" t="s">
        <v>79</v>
      </c>
      <c r="F156" s="8"/>
      <c r="G156" s="8"/>
      <c r="H156" s="8"/>
      <c r="I156" s="8"/>
    </row>
    <row r="157" spans="3:9" ht="12.75" customHeight="1">
      <c r="C157" s="32" t="s">
        <v>80</v>
      </c>
      <c r="D157" s="12"/>
      <c r="E157" s="62">
        <f>'[1]Demand'!Z2882</f>
        <v>39867</v>
      </c>
      <c r="H157" s="32" t="s">
        <v>81</v>
      </c>
      <c r="I157" s="112" t="str">
        <f>IF(ISBLANK('[1]Demand'!AA2882)," ",'[1]Demand'!AA2882)</f>
        <v>5, 9, 12, 14</v>
      </c>
    </row>
    <row r="159" spans="1:9" ht="12.75" customHeight="1">
      <c r="A159" s="55"/>
      <c r="C159" s="32" t="s">
        <v>82</v>
      </c>
      <c r="D159" s="12" t="s">
        <v>83</v>
      </c>
      <c r="E159" s="4" t="s">
        <v>84</v>
      </c>
      <c r="F159" s="12"/>
      <c r="G159" s="4" t="s">
        <v>85</v>
      </c>
      <c r="H159" s="12"/>
      <c r="I159" s="4" t="s">
        <v>86</v>
      </c>
    </row>
    <row r="160" spans="1:9" ht="12.75" customHeight="1">
      <c r="A160" s="55"/>
      <c r="C160" s="32" t="s">
        <v>87</v>
      </c>
      <c r="D160" s="12"/>
      <c r="E160" s="4" t="s">
        <v>88</v>
      </c>
      <c r="F160" s="12" t="s">
        <v>83</v>
      </c>
      <c r="G160" s="4" t="s">
        <v>89</v>
      </c>
      <c r="H160" s="12"/>
      <c r="I160" s="4" t="s">
        <v>90</v>
      </c>
    </row>
    <row r="161" spans="1:8" ht="12.75" customHeight="1">
      <c r="A161" s="55"/>
      <c r="C161" s="32" t="s">
        <v>91</v>
      </c>
      <c r="D161" s="12" t="s">
        <v>83</v>
      </c>
      <c r="E161" s="4" t="s">
        <v>92</v>
      </c>
      <c r="F161" s="12"/>
      <c r="G161" s="4" t="s">
        <v>93</v>
      </c>
      <c r="H161" s="15"/>
    </row>
    <row r="162" ht="12.75" customHeight="1">
      <c r="A162" s="55"/>
    </row>
    <row r="163" spans="1:9" ht="12.75" customHeight="1">
      <c r="A163" s="59"/>
      <c r="B163" s="9"/>
      <c r="C163" s="9"/>
      <c r="D163" s="12"/>
      <c r="E163" s="9"/>
      <c r="F163" s="9"/>
      <c r="G163" s="9"/>
      <c r="H163" s="9"/>
      <c r="I163" s="9"/>
    </row>
    <row r="164" spans="1:9" ht="12.75" customHeight="1">
      <c r="A164" s="66"/>
      <c r="B164" s="7"/>
      <c r="C164" s="7"/>
      <c r="D164" s="67"/>
      <c r="E164" s="68" t="s">
        <v>94</v>
      </c>
      <c r="F164" s="7"/>
      <c r="G164" s="68" t="s">
        <v>95</v>
      </c>
      <c r="H164" s="7"/>
      <c r="I164" s="69" t="s">
        <v>96</v>
      </c>
    </row>
    <row r="165" spans="1:9" ht="12.75" customHeight="1">
      <c r="A165" s="70"/>
      <c r="B165" s="9" t="s">
        <v>97</v>
      </c>
      <c r="C165" s="9"/>
      <c r="D165" s="12"/>
      <c r="E165" s="71" t="s">
        <v>98</v>
      </c>
      <c r="F165" s="9"/>
      <c r="G165" s="71" t="s">
        <v>99</v>
      </c>
      <c r="H165" s="9"/>
      <c r="I165" s="72" t="s">
        <v>100</v>
      </c>
    </row>
    <row r="166" spans="1:9" ht="12.75" customHeight="1">
      <c r="A166" s="66"/>
      <c r="E166" s="45"/>
      <c r="G166" s="45"/>
      <c r="I166" s="73"/>
    </row>
    <row r="167" spans="1:9" ht="12.75" customHeight="1">
      <c r="A167" s="74" t="s">
        <v>47</v>
      </c>
      <c r="B167" s="75"/>
      <c r="E167" s="45"/>
      <c r="G167" s="45"/>
      <c r="I167" s="73"/>
    </row>
    <row r="168" spans="1:9" ht="12.75" customHeight="1">
      <c r="A168" s="66"/>
      <c r="C168" s="15"/>
      <c r="E168" s="76" t="str">
        <f>IF(AND(ISBLANK('[1]Demand'!Y2884),'[1]Demand'!U2884&gt;0),'[1]Demand'!U2884," ")</f>
        <v> </v>
      </c>
      <c r="F168" s="46"/>
      <c r="G168" s="77" t="str">
        <f>IF(AND(ISBLANK('[1]Demand'!Y2884),'[1]Demand'!V2884&gt;0),'[1]Demand'!V2884," ")</f>
        <v> </v>
      </c>
      <c r="H168" s="46"/>
      <c r="I168" s="78" t="str">
        <f>IF(AND(ISBLANK('[1]Demand'!Y2884),'[1]Demand'!W2884&gt;0),'[1]Demand'!W2884," ")</f>
        <v> </v>
      </c>
    </row>
    <row r="169" spans="1:9" ht="12.75" customHeight="1">
      <c r="A169" s="66"/>
      <c r="C169" s="15"/>
      <c r="E169" s="76" t="str">
        <f>IF(AND(ISBLANK('[1]Demand'!Y2885),'[1]Demand'!U2885&gt;0),'[1]Demand'!U2885," ")</f>
        <v> </v>
      </c>
      <c r="F169" s="46"/>
      <c r="G169" s="77" t="str">
        <f>IF(AND(ISBLANK('[1]Demand'!Y2885),'[1]Demand'!V2885&gt;0),'[1]Demand'!V2885," ")</f>
        <v> </v>
      </c>
      <c r="H169" s="46"/>
      <c r="I169" s="78" t="str">
        <f>IF(AND(ISBLANK('[1]Demand'!Y2885),'[1]Demand'!W2885&gt;0),'[1]Demand'!W2885," ")</f>
        <v> </v>
      </c>
    </row>
    <row r="170" spans="3:9" ht="12.75" customHeight="1">
      <c r="C170" s="15"/>
      <c r="E170" s="76" t="str">
        <f>IF(AND(ISBLANK('[1]Demand'!Y2889),'[1]Demand'!U2889&gt;0),'[1]Demand'!U2889," ")</f>
        <v> </v>
      </c>
      <c r="F170" s="46"/>
      <c r="G170" s="77" t="str">
        <f>IF(AND(ISBLANK('[1]Demand'!Y2889),'[1]Demand'!V2889&gt;0),'[1]Demand'!V2889," ")</f>
        <v> </v>
      </c>
      <c r="H170" s="46"/>
      <c r="I170" s="78" t="str">
        <f>IF(AND(ISBLANK('[1]Demand'!Y2889),'[1]Demand'!W2889&gt;0),'[1]Demand'!W2889," ")</f>
        <v> </v>
      </c>
    </row>
    <row r="171" spans="5:10" ht="12.75" customHeight="1">
      <c r="E171" s="45"/>
      <c r="G171" s="45"/>
      <c r="I171" s="73"/>
      <c r="J171" s="45"/>
    </row>
    <row r="172" spans="1:10" ht="12.75" customHeight="1">
      <c r="A172" s="66"/>
      <c r="B172" s="4" t="str">
        <f>IF(AND(ISBLANK('[1]Demand'!Y2886),'[1]Demand'!T2886&gt;0),'[1]Demand'!T2886," ")</f>
        <v> </v>
      </c>
      <c r="C172" s="15" t="str">
        <f>IF(AND(ISBLANK('[1]Demand'!Y2886),'[1]Demand'!S2886&gt;0),'[1]Demand'!S2886," ")</f>
        <v> </v>
      </c>
      <c r="E172" s="76" t="str">
        <f>IF(AND(ISBLANK('[1]Demand'!Y2886),'[1]Demand'!U2886&gt;0),'[1]Demand'!U2886," ")</f>
        <v> </v>
      </c>
      <c r="F172" s="46"/>
      <c r="G172" s="77" t="str">
        <f>IF(AND(ISBLANK('[1]Demand'!Y2886),'[1]Demand'!V2886&gt;0),'[1]Demand'!V2886," ")</f>
        <v> </v>
      </c>
      <c r="H172" s="46"/>
      <c r="I172" s="78" t="str">
        <f>IF(AND(ISBLANK('[1]Demand'!Y2886),'[1]Demand'!W2886&gt;0),'[1]Demand'!W2886," ")</f>
        <v> </v>
      </c>
      <c r="J172" s="45"/>
    </row>
    <row r="173" spans="1:10" ht="12.75" customHeight="1">
      <c r="A173" s="66"/>
      <c r="B173" s="4" t="str">
        <f>IF(AND(ISBLANK('[1]Demand'!Y2888),'[1]Demand'!T2888&gt;0),'[1]Demand'!T2888," ")</f>
        <v>Enhanced Firm Trans</v>
      </c>
      <c r="C173" s="15" t="str">
        <f>IF(AND(ISBLANK('[1]Demand'!Y2888),'[1]Demand'!S2888&gt;0),'[1]Demand'!S2888," ")</f>
        <v>EFT</v>
      </c>
      <c r="E173" s="76">
        <f>IF(AND(ISBLANK('[1]Demand'!Y2888),'[1]Demand'!U2888&gt;0),'[1]Demand'!U2888," ")</f>
        <v>13.430000000000001</v>
      </c>
      <c r="F173" s="46"/>
      <c r="G173" s="77">
        <f>IF(AND(ISBLANK('[1]Demand'!Y2888),'[1]Demand'!V2888&gt;0),'[1]Demand'!V2888," ")</f>
        <v>180000</v>
      </c>
      <c r="H173" s="46"/>
      <c r="I173" s="78">
        <f>IF(AND(ISBLANK('[1]Demand'!Y2888),'[1]Demand'!W2888&gt;0),'[1]Demand'!W2888," ")</f>
        <v>2417400</v>
      </c>
      <c r="J173" s="45"/>
    </row>
    <row r="174" spans="1:10" ht="12.75" customHeight="1">
      <c r="A174" s="66"/>
      <c r="E174" s="45"/>
      <c r="G174" s="45"/>
      <c r="I174" s="73"/>
      <c r="J174" s="45"/>
    </row>
    <row r="175" spans="1:10" ht="12.75" customHeight="1">
      <c r="A175" s="66"/>
      <c r="B175" s="4" t="str">
        <f>IF(AND(ISBLANK('[1]Demand'!Y2890),'[1]Demand'!T2890&gt;0),'[1]Demand'!T2890," ")</f>
        <v> </v>
      </c>
      <c r="C175" s="15" t="str">
        <f>IF(AND(ISBLANK('[1]Demand'!Y2890),'[1]Demand'!S2890&gt;0),'[1]Demand'!S2890," ")</f>
        <v> </v>
      </c>
      <c r="D175" s="15" t="str">
        <f>IF(AND(E175&gt;0,'[1]Demand'!AB2889="Y"),"*"," ")</f>
        <v> </v>
      </c>
      <c r="E175" s="76" t="str">
        <f>IF(AND(ISBLANK('[1]Demand'!Y2890),'[1]Demand'!U2890&gt;0),'[1]Demand'!U2890," ")</f>
        <v> </v>
      </c>
      <c r="F175" s="46"/>
      <c r="G175" s="77" t="str">
        <f>IF(AND(ISBLANK('[1]Demand'!Y2890),'[1]Demand'!V2890&gt;0),'[1]Demand'!V2890," ")</f>
        <v> </v>
      </c>
      <c r="H175" s="46"/>
      <c r="I175" s="78" t="str">
        <f>IF(AND(ISBLANK('[1]Demand'!Y2890),'[1]Demand'!W2890&gt;0),'[1]Demand'!W2890," ")</f>
        <v> </v>
      </c>
      <c r="J175" s="45"/>
    </row>
    <row r="176" spans="1:10" ht="12.75" customHeight="1">
      <c r="A176" s="66"/>
      <c r="B176" s="4" t="str">
        <f>IF(AND(ISBLANK('[1]Demand'!Y2891),'[1]Demand'!T2891&gt;0),'[1]Demand'!T2891," ")</f>
        <v> </v>
      </c>
      <c r="C176" s="15" t="str">
        <f>IF(AND(ISBLANK('[1]Demand'!Y2891),'[1]Demand'!S2891&gt;0),'[1]Demand'!S2891," ")</f>
        <v> </v>
      </c>
      <c r="D176" s="15" t="str">
        <f>IF(AND(E176&gt;0,'[1]Demand'!AB2890="Y"),"*"," ")</f>
        <v> </v>
      </c>
      <c r="E176" s="76" t="str">
        <f>IF(AND(ISBLANK('[1]Demand'!Y2891),'[1]Demand'!U2891&gt;0),'[1]Demand'!U2891," ")</f>
        <v> </v>
      </c>
      <c r="F176" s="46"/>
      <c r="G176" s="77" t="str">
        <f>IF(AND(ISBLANK('[1]Demand'!Y2891),'[1]Demand'!V2891&gt;0),'[1]Demand'!V2891," ")</f>
        <v> </v>
      </c>
      <c r="H176" s="46"/>
      <c r="I176" s="113" t="str">
        <f>IF(AND(ISBLANK('[1]Demand'!Y2891),'[1]Demand'!W2891&gt;0),'[1]Demand'!W2891," ")</f>
        <v> </v>
      </c>
      <c r="J176" s="45"/>
    </row>
    <row r="177" spans="1:9" ht="12.75" customHeight="1" thickBot="1">
      <c r="A177" s="89" t="s">
        <v>117</v>
      </c>
      <c r="B177" s="86"/>
      <c r="C177" s="86"/>
      <c r="D177" s="94"/>
      <c r="E177" s="95"/>
      <c r="F177" s="86"/>
      <c r="G177" s="89"/>
      <c r="H177" s="86"/>
      <c r="I177" s="58">
        <f>SUM(I168:I176)</f>
        <v>2417400</v>
      </c>
    </row>
    <row r="178" spans="1:9" ht="12.75" customHeight="1">
      <c r="A178" s="66"/>
      <c r="E178" s="90"/>
      <c r="G178" s="66"/>
      <c r="I178" s="57"/>
    </row>
    <row r="179" spans="1:9" ht="12.75" customHeight="1">
      <c r="A179" s="91" t="s">
        <v>48</v>
      </c>
      <c r="B179" s="75"/>
      <c r="E179" s="90"/>
      <c r="G179" s="66"/>
      <c r="I179" s="73"/>
    </row>
    <row r="180" spans="1:9" ht="12.75" customHeight="1">
      <c r="A180" s="66"/>
      <c r="B180" s="4" t="s">
        <v>48</v>
      </c>
      <c r="D180" s="15" t="s">
        <v>101</v>
      </c>
      <c r="E180" s="114" t="s">
        <v>101</v>
      </c>
      <c r="G180" s="115" t="s">
        <v>101</v>
      </c>
      <c r="I180" s="116" t="s">
        <v>101</v>
      </c>
    </row>
    <row r="181" spans="1:9" ht="12.75" customHeight="1">
      <c r="A181" s="79"/>
      <c r="B181" s="4" t="s">
        <v>102</v>
      </c>
      <c r="C181" s="15" t="s">
        <v>103</v>
      </c>
      <c r="D181" s="15" t="str">
        <f>IF(AND(E181&gt;0,'[1]Instruct &amp; Input'!$Z$34="Y"),"*"," ")</f>
        <v>*</v>
      </c>
      <c r="E181" s="90">
        <f>'[1]Instruct &amp; Input'!Y32</f>
        <v>4.86</v>
      </c>
      <c r="G181" s="66">
        <f>'[1]Estimates'!D20+'[1]Estimates'!F20</f>
        <v>957000</v>
      </c>
      <c r="I181" s="92">
        <f>ROUND(G181*E181,0)</f>
        <v>4651020</v>
      </c>
    </row>
    <row r="182" spans="1:9" ht="12.75" customHeight="1" thickBot="1">
      <c r="A182" s="93" t="s">
        <v>104</v>
      </c>
      <c r="B182" s="86"/>
      <c r="C182" s="86"/>
      <c r="D182" s="94"/>
      <c r="E182" s="95"/>
      <c r="F182" s="86"/>
      <c r="G182" s="89"/>
      <c r="H182" s="86"/>
      <c r="I182" s="58">
        <f>SUM(I180:I181)</f>
        <v>4651020</v>
      </c>
    </row>
    <row r="183" spans="1:9" ht="12.75" customHeight="1">
      <c r="A183" s="45"/>
      <c r="E183" s="90"/>
      <c r="G183" s="66"/>
      <c r="I183" s="73"/>
    </row>
    <row r="184" spans="1:9" ht="12.75" customHeight="1">
      <c r="A184" s="96" t="s">
        <v>49</v>
      </c>
      <c r="B184" s="75"/>
      <c r="E184" s="90"/>
      <c r="G184" s="66"/>
      <c r="I184" s="73"/>
    </row>
    <row r="185" spans="1:9" ht="12.75" customHeight="1">
      <c r="A185" s="96"/>
      <c r="B185" s="4" t="str">
        <f>'[1]Instruct &amp; Input'!W43</f>
        <v>PS - Injection</v>
      </c>
      <c r="D185" s="15" t="str">
        <f>IF(AND(E185&gt;0,'[1]Instruct &amp; Input'!$Z$43="Y"),"*"," ")</f>
        <v> </v>
      </c>
      <c r="E185" s="90">
        <f>'[1]Instruct &amp; Input'!Y43</f>
        <v>0.0385</v>
      </c>
      <c r="G185" s="66">
        <f>'[1]Estimates'!I38</f>
        <v>1017000</v>
      </c>
      <c r="I185" s="57">
        <f>ROUND(G185*E185,0)</f>
        <v>39155</v>
      </c>
    </row>
    <row r="186" spans="1:9" ht="12.75" customHeight="1">
      <c r="A186" s="96"/>
      <c r="B186" s="4" t="str">
        <f>'[1]Instruct &amp; Input'!W44</f>
        <v>PS - Withdrawal</v>
      </c>
      <c r="D186" s="15" t="str">
        <f>IF(AND(E186&gt;0,'[1]Instruct &amp; Input'!$Z$44="Y"),"*"," ")</f>
        <v> </v>
      </c>
      <c r="E186" s="90">
        <f>'[1]Instruct &amp; Input'!Y44</f>
        <v>0.0385</v>
      </c>
      <c r="G186" s="66">
        <f>'[1]Estimates'!J38</f>
        <v>957000</v>
      </c>
      <c r="I186" s="57">
        <f>ROUND(G186*E186,0)</f>
        <v>36845</v>
      </c>
    </row>
    <row r="187" spans="1:9" ht="12.75" customHeight="1">
      <c r="A187" s="66"/>
      <c r="B187" s="4" t="str">
        <f>'[1]Instruct &amp; Input'!W41</f>
        <v>IOS - Injection</v>
      </c>
      <c r="C187" s="15"/>
      <c r="D187" s="15" t="str">
        <f>IF(AND(E187&gt;0,'[1]Instruct &amp; Input'!$Z$41="Y"),"*"," ")</f>
        <v> </v>
      </c>
      <c r="E187" s="90">
        <f>'[1]Instruct &amp; Input'!Y41</f>
        <v>0.0033</v>
      </c>
      <c r="G187" s="66">
        <f>'[1]Estimates'!M21+'[1]Estimates'!M38</f>
        <v>0</v>
      </c>
      <c r="I187" s="57">
        <f>ROUND(G187*E187,0)</f>
        <v>0</v>
      </c>
    </row>
    <row r="188" spans="1:9" ht="12.75" customHeight="1">
      <c r="A188" s="66"/>
      <c r="B188" s="4" t="str">
        <f>'[1]Instruct &amp; Input'!W42</f>
        <v>IOS - Withdrawal</v>
      </c>
      <c r="C188" s="15"/>
      <c r="D188" s="15" t="str">
        <f>IF(AND(E188&gt;0,'[1]Instruct &amp; Input'!$Z$42="Y"),"*"," ")</f>
        <v> </v>
      </c>
      <c r="E188" s="90">
        <f>'[1]Instruct &amp; Input'!Y42</f>
        <v>0.0033</v>
      </c>
      <c r="G188" s="66">
        <f>'[1]Estimates'!N21</f>
        <v>0</v>
      </c>
      <c r="I188" s="92">
        <f>ROUND(G188*E188,0)</f>
        <v>0</v>
      </c>
    </row>
    <row r="189" spans="1:9" ht="12.75" customHeight="1" thickBot="1">
      <c r="A189" s="89" t="s">
        <v>106</v>
      </c>
      <c r="B189" s="86"/>
      <c r="C189" s="86"/>
      <c r="D189" s="94"/>
      <c r="E189" s="95"/>
      <c r="F189" s="86"/>
      <c r="G189" s="89"/>
      <c r="H189" s="86"/>
      <c r="I189" s="97">
        <f>SUM(I185:I188)</f>
        <v>76000</v>
      </c>
    </row>
    <row r="190" spans="1:9" ht="12.75" customHeight="1">
      <c r="A190" s="55"/>
      <c r="E190" s="98"/>
      <c r="G190" s="55"/>
      <c r="I190" s="73"/>
    </row>
    <row r="191" spans="1:9" ht="12.75" customHeight="1" thickBot="1">
      <c r="A191" s="4" t="s">
        <v>107</v>
      </c>
      <c r="E191" s="98"/>
      <c r="G191" s="55"/>
      <c r="I191" s="58">
        <f>SUM(I168:I189)/2</f>
        <v>7144420</v>
      </c>
    </row>
    <row r="192" spans="5:7" ht="12.75" customHeight="1">
      <c r="E192" s="98"/>
      <c r="G192" s="55"/>
    </row>
    <row r="193" ht="12.75" customHeight="1">
      <c r="G193" s="55"/>
    </row>
    <row r="194" spans="1:7" ht="12.75" customHeight="1">
      <c r="A194" s="101"/>
      <c r="B194" s="32" t="s">
        <v>108</v>
      </c>
      <c r="C194" s="4" t="s">
        <v>109</v>
      </c>
      <c r="G194" s="55"/>
    </row>
    <row r="195" spans="1:7" ht="12.75" customHeight="1">
      <c r="A195" s="55"/>
      <c r="C195" s="4" t="s">
        <v>110</v>
      </c>
      <c r="G195" s="55"/>
    </row>
    <row r="196" spans="1:7" ht="12.75" customHeight="1">
      <c r="A196" s="55"/>
      <c r="C196" s="4" t="s">
        <v>111</v>
      </c>
      <c r="G196" s="55"/>
    </row>
    <row r="197" spans="3:7" ht="12.75" customHeight="1">
      <c r="C197" s="4" t="s">
        <v>112</v>
      </c>
      <c r="G197" s="55"/>
    </row>
    <row r="198" ht="12.75" customHeight="1">
      <c r="G198" s="55"/>
    </row>
    <row r="199" spans="3:9" ht="12.75" customHeight="1">
      <c r="C199" s="2"/>
      <c r="E199" s="2"/>
      <c r="F199" s="2"/>
      <c r="G199" s="102"/>
      <c r="H199" s="2"/>
      <c r="I199" s="32" t="s">
        <v>75</v>
      </c>
    </row>
    <row r="200" spans="3:9" ht="12.75" customHeight="1">
      <c r="C200" s="2"/>
      <c r="E200" s="2"/>
      <c r="F200" s="2"/>
      <c r="G200" s="102"/>
      <c r="H200" s="2"/>
      <c r="I200" s="32" t="str">
        <f>IF('[1]Scratch Pad'!C8="N","Page "&amp;'[1]Scratch Pad'!D8&amp;"a of 6","MISCELLANEOUS")</f>
        <v>Page 3a of 6</v>
      </c>
    </row>
    <row r="201" spans="1:9" ht="12.75" customHeight="1">
      <c r="A201" s="2"/>
      <c r="B201" s="103" t="s">
        <v>0</v>
      </c>
      <c r="C201" s="1"/>
      <c r="D201" s="1"/>
      <c r="E201" s="1"/>
      <c r="F201" s="1"/>
      <c r="G201" s="104"/>
      <c r="H201" s="1"/>
      <c r="I201" s="1"/>
    </row>
    <row r="202" spans="1:9" ht="12.75" customHeight="1">
      <c r="A202" s="2"/>
      <c r="B202" s="1"/>
      <c r="C202" s="1"/>
      <c r="D202" s="1"/>
      <c r="E202" s="1"/>
      <c r="F202" s="1"/>
      <c r="G202" s="104"/>
      <c r="H202" s="1"/>
      <c r="I202" s="1"/>
    </row>
    <row r="203" spans="1:9" ht="12.75" customHeight="1">
      <c r="A203" s="2"/>
      <c r="B203" s="5" t="s">
        <v>1</v>
      </c>
      <c r="C203" s="1"/>
      <c r="D203" s="1"/>
      <c r="E203" s="1"/>
      <c r="F203" s="1"/>
      <c r="G203" s="104"/>
      <c r="H203" s="1"/>
      <c r="I203" s="1"/>
    </row>
    <row r="204" spans="1:9" ht="12.75" customHeight="1">
      <c r="A204" s="2"/>
      <c r="B204" s="2"/>
      <c r="C204" s="2"/>
      <c r="D204" s="2"/>
      <c r="E204" s="2"/>
      <c r="F204" s="2"/>
      <c r="G204" s="102"/>
      <c r="H204" s="2"/>
      <c r="I204" s="2"/>
    </row>
    <row r="205" spans="1:9" ht="12.75" customHeight="1">
      <c r="A205" s="2"/>
      <c r="B205" s="2" t="s">
        <v>113</v>
      </c>
      <c r="C205" s="2"/>
      <c r="D205" s="2"/>
      <c r="E205" s="2"/>
      <c r="F205" s="2"/>
      <c r="G205" s="102"/>
      <c r="H205" s="2"/>
      <c r="I205" s="2"/>
    </row>
    <row r="206" spans="1:9" ht="12.75" customHeight="1">
      <c r="A206" s="2"/>
      <c r="B206" s="2"/>
      <c r="C206" s="2"/>
      <c r="D206" s="2"/>
      <c r="E206" s="2"/>
      <c r="F206" s="2"/>
      <c r="G206" s="102"/>
      <c r="H206" s="2"/>
      <c r="I206" s="2"/>
    </row>
    <row r="207" spans="1:9" ht="12.75" customHeight="1">
      <c r="A207" s="2"/>
      <c r="B207" s="2" t="str">
        <f>E152&amp;" GCR"</f>
        <v>April 29, 2009 GCR</v>
      </c>
      <c r="C207" s="105"/>
      <c r="D207" s="105"/>
      <c r="E207" s="105"/>
      <c r="F207" s="105"/>
      <c r="G207" s="106"/>
      <c r="H207" s="105"/>
      <c r="I207" s="105"/>
    </row>
    <row r="208" spans="2:9" ht="12.75" customHeight="1">
      <c r="B208" s="105"/>
      <c r="C208" s="105"/>
      <c r="D208" s="107"/>
      <c r="E208" s="105"/>
      <c r="F208" s="105"/>
      <c r="G208" s="106"/>
      <c r="H208" s="105"/>
      <c r="I208" s="105"/>
    </row>
    <row r="209" ht="12.75" customHeight="1">
      <c r="G209" s="55"/>
    </row>
    <row r="210" spans="2:7" ht="12.75" customHeight="1">
      <c r="B210" s="109" t="s">
        <v>121</v>
      </c>
      <c r="G210" s="55"/>
    </row>
    <row r="211" ht="12.75" customHeight="1">
      <c r="G211" s="55"/>
    </row>
    <row r="212" spans="2:9" ht="12.75" customHeight="1">
      <c r="B212" s="4" t="str">
        <f>'[1]Demand'!A978</f>
        <v>Field Zone</v>
      </c>
      <c r="G212" s="55"/>
      <c r="I212" s="98">
        <f>'[1]Demand'!B941</f>
        <v>4.73</v>
      </c>
    </row>
    <row r="213" spans="2:9" ht="12.75" customHeight="1">
      <c r="B213" s="4" t="str">
        <f>'[1]Demand'!A979</f>
        <v>Access Charge</v>
      </c>
      <c r="G213" s="55"/>
      <c r="I213" s="98">
        <f>'[1]Demand'!B940</f>
        <v>3.3</v>
      </c>
    </row>
    <row r="214" spans="2:9" ht="12.75" customHeight="1">
      <c r="B214" s="4" t="str">
        <f>'[1]Demand'!A982</f>
        <v>N/A</v>
      </c>
      <c r="G214" s="55"/>
      <c r="I214" s="98">
        <f>'[1]Demand'!B982</f>
        <v>0</v>
      </c>
    </row>
    <row r="215" spans="2:9" ht="12.75" customHeight="1">
      <c r="B215" s="4" t="str">
        <f>'[1]Demand'!A980</f>
        <v>Reservation 801-900</v>
      </c>
      <c r="G215" s="55"/>
      <c r="I215" s="98">
        <f>'[1]Demand'!B942</f>
        <v>5.4</v>
      </c>
    </row>
    <row r="216" ht="12.75" customHeight="1" thickBot="1">
      <c r="G216" s="55"/>
    </row>
    <row r="217" spans="2:9" ht="12.75" customHeight="1" thickBot="1">
      <c r="B217" s="4" t="str">
        <f>'[1]Demand'!A987</f>
        <v>TOTAL</v>
      </c>
      <c r="G217" s="55"/>
      <c r="I217" s="110">
        <f>SUM(I212:I216)</f>
        <v>13.430000000000001</v>
      </c>
    </row>
    <row r="218" ht="12.75" customHeight="1">
      <c r="G218" s="55"/>
    </row>
    <row r="219" ht="12.75" customHeight="1">
      <c r="G219" s="55"/>
    </row>
    <row r="220" ht="12.75" customHeight="1">
      <c r="G220" s="55"/>
    </row>
    <row r="221" ht="12.75" customHeight="1">
      <c r="G221" s="55"/>
    </row>
    <row r="222" ht="12.75" customHeight="1">
      <c r="G222" s="55"/>
    </row>
    <row r="223" ht="12.75" customHeight="1">
      <c r="G223" s="55"/>
    </row>
    <row r="224" ht="12.75" customHeight="1">
      <c r="G224" s="55"/>
    </row>
    <row r="225" ht="12.75" customHeight="1">
      <c r="G225" s="55"/>
    </row>
    <row r="226" ht="12.75" customHeight="1">
      <c r="G226" s="55"/>
    </row>
    <row r="227" ht="12.75" customHeight="1">
      <c r="G227" s="55"/>
    </row>
    <row r="228" ht="12.75" customHeight="1">
      <c r="G228" s="55"/>
    </row>
    <row r="229" ht="12.75" customHeight="1">
      <c r="G229" s="55"/>
    </row>
    <row r="230" ht="12.75" customHeight="1">
      <c r="G230" s="55"/>
    </row>
    <row r="231" spans="1:9" ht="12.75" customHeight="1">
      <c r="A231" s="32"/>
      <c r="I231" s="32" t="s">
        <v>75</v>
      </c>
    </row>
    <row r="232" spans="1:9" ht="12.75" customHeight="1">
      <c r="A232" s="32"/>
      <c r="I232" s="32" t="str">
        <f>IF('[1]Scratch Pad'!C9="N","Page "&amp;'[1]Scratch Pad'!D9&amp;" of 6","MISCELLANEOUS")</f>
        <v>Page 4 of 6</v>
      </c>
    </row>
    <row r="233" spans="1:9" ht="12.75" customHeight="1">
      <c r="A233" s="2" t="s">
        <v>0</v>
      </c>
      <c r="B233" s="2"/>
      <c r="C233" s="2"/>
      <c r="D233" s="2"/>
      <c r="E233" s="2"/>
      <c r="F233" s="2"/>
      <c r="G233" s="2"/>
      <c r="H233" s="2"/>
      <c r="I233" s="2"/>
    </row>
    <row r="234" spans="1:9" ht="12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 customHeight="1">
      <c r="A235" s="33" t="s">
        <v>1</v>
      </c>
      <c r="B235" s="2"/>
      <c r="C235" s="2"/>
      <c r="D235" s="2"/>
      <c r="E235" s="2"/>
      <c r="F235" s="2"/>
      <c r="G235" s="2"/>
      <c r="H235" s="2"/>
      <c r="I235" s="2"/>
    </row>
    <row r="236" spans="1:9" ht="12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 customHeight="1">
      <c r="A237" s="2" t="s">
        <v>76</v>
      </c>
      <c r="B237" s="2"/>
      <c r="C237" s="2"/>
      <c r="D237" s="2"/>
      <c r="E237" s="2"/>
      <c r="F237" s="2"/>
      <c r="G237" s="2"/>
      <c r="H237" s="2"/>
      <c r="I237" s="2"/>
    </row>
    <row r="239" spans="3:6" ht="12.75" customHeight="1">
      <c r="C239" s="32" t="s">
        <v>42</v>
      </c>
      <c r="D239" s="12"/>
      <c r="E239" s="62" t="str">
        <f>$E$9</f>
        <v>April 29, 2009</v>
      </c>
      <c r="F239" s="4" t="s">
        <v>43</v>
      </c>
    </row>
    <row r="240" spans="3:5" ht="12.75" customHeight="1">
      <c r="C240" s="32" t="s">
        <v>44</v>
      </c>
      <c r="D240" s="12"/>
      <c r="E240" s="62" t="str">
        <f>E$10</f>
        <v>April 30, 2010</v>
      </c>
    </row>
    <row r="242" spans="1:9" ht="12.75" customHeight="1">
      <c r="A242" s="46"/>
      <c r="C242" s="32" t="s">
        <v>77</v>
      </c>
      <c r="D242" s="12"/>
      <c r="E242" s="63" t="s">
        <v>122</v>
      </c>
      <c r="F242" s="8"/>
      <c r="G242" s="8"/>
      <c r="H242" s="8"/>
      <c r="I242" s="8"/>
    </row>
    <row r="243" spans="1:9" ht="12.75" customHeight="1">
      <c r="A243" s="64"/>
      <c r="C243" s="32" t="s">
        <v>78</v>
      </c>
      <c r="D243" s="12"/>
      <c r="E243" s="63" t="s">
        <v>123</v>
      </c>
      <c r="F243" s="8"/>
      <c r="G243" s="8"/>
      <c r="H243" s="8"/>
      <c r="I243" s="8"/>
    </row>
    <row r="244" spans="3:9" ht="12.75" customHeight="1">
      <c r="C244" s="32" t="s">
        <v>80</v>
      </c>
      <c r="D244" s="12"/>
      <c r="E244" s="62">
        <f>'[1]Demand'!Z2892</f>
        <v>39904</v>
      </c>
      <c r="H244" s="32" t="s">
        <v>81</v>
      </c>
      <c r="I244" s="112">
        <f>IF(ISBLANK('[1]Demand'!AA2892)," ",'[1]Demand'!AA2892)</f>
        <v>6</v>
      </c>
    </row>
    <row r="246" spans="1:9" ht="12.75" customHeight="1">
      <c r="A246" s="55"/>
      <c r="C246" s="32" t="s">
        <v>82</v>
      </c>
      <c r="D246" s="12" t="s">
        <v>83</v>
      </c>
      <c r="E246" s="4" t="s">
        <v>84</v>
      </c>
      <c r="F246" s="12"/>
      <c r="G246" s="4" t="s">
        <v>85</v>
      </c>
      <c r="H246" s="12"/>
      <c r="I246" s="4" t="s">
        <v>86</v>
      </c>
    </row>
    <row r="247" spans="1:9" ht="12.75" customHeight="1">
      <c r="A247" s="55"/>
      <c r="C247" s="32" t="s">
        <v>87</v>
      </c>
      <c r="D247" s="12"/>
      <c r="E247" s="4" t="s">
        <v>88</v>
      </c>
      <c r="F247" s="12" t="s">
        <v>83</v>
      </c>
      <c r="G247" s="4" t="s">
        <v>89</v>
      </c>
      <c r="H247" s="12"/>
      <c r="I247" s="4" t="s">
        <v>90</v>
      </c>
    </row>
    <row r="248" spans="1:8" ht="12.75" customHeight="1">
      <c r="A248" s="55"/>
      <c r="C248" s="32" t="s">
        <v>91</v>
      </c>
      <c r="D248" s="12" t="s">
        <v>83</v>
      </c>
      <c r="E248" s="4" t="s">
        <v>92</v>
      </c>
      <c r="F248" s="12"/>
      <c r="G248" s="4" t="s">
        <v>93</v>
      </c>
      <c r="H248" s="15"/>
    </row>
    <row r="249" ht="12.75" customHeight="1">
      <c r="A249" s="55"/>
    </row>
    <row r="250" spans="1:9" ht="12.75" customHeight="1">
      <c r="A250" s="59"/>
      <c r="B250" s="9"/>
      <c r="C250" s="9"/>
      <c r="D250" s="12"/>
      <c r="E250" s="9"/>
      <c r="F250" s="9"/>
      <c r="G250" s="9"/>
      <c r="H250" s="9"/>
      <c r="I250" s="9"/>
    </row>
    <row r="251" spans="1:9" ht="12.75" customHeight="1">
      <c r="A251" s="66"/>
      <c r="B251" s="46"/>
      <c r="C251" s="67"/>
      <c r="D251" s="67"/>
      <c r="E251" s="68" t="s">
        <v>94</v>
      </c>
      <c r="F251" s="7"/>
      <c r="G251" s="68" t="s">
        <v>95</v>
      </c>
      <c r="H251" s="7"/>
      <c r="I251" s="69" t="s">
        <v>96</v>
      </c>
    </row>
    <row r="252" spans="1:9" ht="12.75" customHeight="1">
      <c r="A252" s="70"/>
      <c r="B252" s="9" t="s">
        <v>97</v>
      </c>
      <c r="C252" s="9"/>
      <c r="D252" s="12"/>
      <c r="E252" s="71" t="s">
        <v>98</v>
      </c>
      <c r="F252" s="9"/>
      <c r="G252" s="71" t="s">
        <v>99</v>
      </c>
      <c r="H252" s="9"/>
      <c r="I252" s="72" t="s">
        <v>100</v>
      </c>
    </row>
    <row r="253" spans="1:9" ht="12.75" customHeight="1">
      <c r="A253" s="66"/>
      <c r="E253" s="45"/>
      <c r="G253" s="45"/>
      <c r="I253" s="73"/>
    </row>
    <row r="254" spans="1:9" ht="12.75" customHeight="1">
      <c r="A254" s="74" t="s">
        <v>47</v>
      </c>
      <c r="B254" s="75"/>
      <c r="E254" s="45"/>
      <c r="G254" s="45"/>
      <c r="I254" s="73"/>
    </row>
    <row r="255" spans="1:9" ht="12.75" customHeight="1">
      <c r="A255" s="66"/>
      <c r="B255" s="4" t="str">
        <f>IF(AND(ISBLANK('[1]Demand'!Y2892),'[1]Demand'!T2892&gt;0),'[1]Demand'!T2892," ")</f>
        <v>Reservation Charge</v>
      </c>
      <c r="C255" s="15" t="str">
        <f>IF(AND(ISBLANK('[1]Demand'!Y2892),'[1]Demand'!S2892&gt;0),'[1]Demand'!S2892," ")</f>
        <v>FT-1 </v>
      </c>
      <c r="D255" s="15" t="str">
        <f>IF(AND(E255&gt;0,'[1]Demand'!AB2891="Y"),"*"," ")</f>
        <v> </v>
      </c>
      <c r="E255" s="76">
        <f>IF(AND(ISBLANK('[1]Demand'!Y2892),'[1]Demand'!U2892&gt;0),'[1]Demand'!U2892," ")</f>
        <v>3.3238</v>
      </c>
      <c r="F255" s="46"/>
      <c r="G255" s="77">
        <f>IF(AND(ISBLANK('[1]Demand'!Y2892),'[1]Demand'!V2892&gt;0),'[1]Demand'!V2892," ")</f>
        <v>371328</v>
      </c>
      <c r="H255" s="46"/>
      <c r="I255" s="78">
        <f>IF(AND(ISBLANK('[1]Demand'!Y2892),'[1]Demand'!W2892&gt;0),'[1]Demand'!W2892," ")</f>
        <v>1234220</v>
      </c>
    </row>
    <row r="256" spans="1:9" ht="12.75" customHeight="1">
      <c r="A256" s="79"/>
      <c r="B256" s="4" t="str">
        <f>IF(AND(ISBLANK('[1]Demand'!Y2893),'[1]Demand'!T2893&gt;0),'[1]Demand'!T2893," ")</f>
        <v> </v>
      </c>
      <c r="C256" s="15" t="str">
        <f>IF(AND(ISBLANK('[1]Demand'!Y2893),'[1]Demand'!S2893&gt;0),'[1]Demand'!S2893," ")</f>
        <v> </v>
      </c>
      <c r="E256" s="76" t="str">
        <f>IF(AND(ISBLANK('[1]Demand'!Y2893),'[1]Demand'!U2893&gt;0),'[1]Demand'!U2893," ")</f>
        <v> </v>
      </c>
      <c r="F256" s="46"/>
      <c r="G256" s="77" t="str">
        <f>IF(AND(ISBLANK('[1]Demand'!Y2893),'[1]Demand'!V2893&gt;0),'[1]Demand'!V2893," ")</f>
        <v> </v>
      </c>
      <c r="H256" s="46"/>
      <c r="I256" s="78" t="str">
        <f>IF(AND(ISBLANK('[1]Demand'!Y2893),'[1]Demand'!W2893&gt;0),'[1]Demand'!W2893," ")</f>
        <v> </v>
      </c>
    </row>
    <row r="257" spans="1:9" ht="12.75" customHeight="1">
      <c r="A257" s="66"/>
      <c r="B257" s="4" t="str">
        <f>IF(AND(ISBLANK('[1]Demand'!Y2894),'[1]Demand'!T2894&gt;0),'[1]Demand'!T2894," ")</f>
        <v> </v>
      </c>
      <c r="C257" s="15" t="str">
        <f>IF(AND(ISBLANK('[1]Demand'!Y2894),'[1]Demand'!S2894&gt;0),'[1]Demand'!S2894," ")</f>
        <v> </v>
      </c>
      <c r="E257" s="76" t="str">
        <f>IF(AND(ISBLANK('[1]Demand'!Y2894),'[1]Demand'!U2894&gt;0),'[1]Demand'!U2894," ")</f>
        <v> </v>
      </c>
      <c r="F257" s="46"/>
      <c r="G257" s="77" t="str">
        <f>IF(AND(ISBLANK('[1]Demand'!Y2894),'[1]Demand'!V2894&gt;0),'[1]Demand'!V2894," ")</f>
        <v> </v>
      </c>
      <c r="H257" s="46"/>
      <c r="I257" s="78" t="str">
        <f>IF(AND(ISBLANK('[1]Demand'!Y2894),'[1]Demand'!W2894&gt;0),'[1]Demand'!W2894," ")</f>
        <v> </v>
      </c>
    </row>
    <row r="258" spans="1:9" ht="12.75" customHeight="1">
      <c r="A258" s="66"/>
      <c r="B258" s="4" t="str">
        <f>IF(AND(ISBLANK('[1]Demand'!Y2895),'[1]Demand'!T2895&gt;0),'[1]Demand'!T2895," ")</f>
        <v> </v>
      </c>
      <c r="C258" s="15" t="str">
        <f>IF(AND(ISBLANK('[1]Demand'!Y2895),'[1]Demand'!S2895&gt;0),'[1]Demand'!S2895," ")</f>
        <v> </v>
      </c>
      <c r="E258" s="76" t="str">
        <f>IF(AND(ISBLANK('[1]Demand'!Y2895),'[1]Demand'!U2895&gt;0),'[1]Demand'!U2895," ")</f>
        <v> </v>
      </c>
      <c r="F258" s="46"/>
      <c r="G258" s="77" t="str">
        <f>IF(AND(ISBLANK('[1]Demand'!Y2895),'[1]Demand'!V2895&gt;0),'[1]Demand'!V2895," ")</f>
        <v> </v>
      </c>
      <c r="H258" s="46"/>
      <c r="I258" s="78" t="str">
        <f>IF(AND(ISBLANK('[1]Demand'!Y2895),'[1]Demand'!W2895&gt;0),'[1]Demand'!W2895," ")</f>
        <v> </v>
      </c>
    </row>
    <row r="259" spans="1:9" ht="12.75" customHeight="1">
      <c r="A259" s="66"/>
      <c r="B259" s="4" t="str">
        <f>IF(AND(ISBLANK('[1]Demand'!Y2896),'[1]Demand'!T2896&gt;0),'[1]Demand'!T2896," ")</f>
        <v> </v>
      </c>
      <c r="C259" s="15" t="str">
        <f>IF(AND(ISBLANK('[1]Demand'!Y2896),'[1]Demand'!S2896&gt;0),'[1]Demand'!S2896," ")</f>
        <v> </v>
      </c>
      <c r="E259" s="76" t="str">
        <f>IF(AND(ISBLANK('[1]Demand'!Y2896),'[1]Demand'!U2896&gt;0),'[1]Demand'!U2896," ")</f>
        <v> </v>
      </c>
      <c r="F259" s="46"/>
      <c r="G259" s="77" t="str">
        <f>IF(AND(ISBLANK('[1]Demand'!Y2896),'[1]Demand'!V2896&gt;0),'[1]Demand'!V2896," ")</f>
        <v> </v>
      </c>
      <c r="H259" s="46"/>
      <c r="I259" s="78" t="str">
        <f>IF(AND(ISBLANK('[1]Demand'!Y2896),'[1]Demand'!W2896&gt;0),'[1]Demand'!W2896," ")</f>
        <v> </v>
      </c>
    </row>
    <row r="260" spans="1:9" ht="12.75" customHeight="1">
      <c r="A260" s="66"/>
      <c r="B260" s="4" t="str">
        <f>IF(AND(ISBLANK('[1]Demand'!Y2897),'[1]Demand'!T2897&gt;0),'[1]Demand'!T2897," ")</f>
        <v> </v>
      </c>
      <c r="C260" s="15" t="str">
        <f>IF(AND(ISBLANK('[1]Demand'!Y2897),'[1]Demand'!S2897&gt;0),'[1]Demand'!S2897," ")</f>
        <v> </v>
      </c>
      <c r="E260" s="76" t="str">
        <f>IF(AND(ISBLANK('[1]Demand'!Y2897),'[1]Demand'!U2897&gt;0),'[1]Demand'!U2897," ")</f>
        <v> </v>
      </c>
      <c r="F260" s="46"/>
      <c r="G260" s="77" t="str">
        <f>IF(AND(ISBLANK('[1]Demand'!Y2897),'[1]Demand'!V2897&gt;0),'[1]Demand'!V2897," ")</f>
        <v> </v>
      </c>
      <c r="H260" s="46"/>
      <c r="I260" s="78" t="str">
        <f>IF(AND(ISBLANK('[1]Demand'!Y2897),'[1]Demand'!W2897&gt;0),'[1]Demand'!W2897," ")</f>
        <v> </v>
      </c>
    </row>
    <row r="261" spans="1:9" ht="12.75" customHeight="1">
      <c r="A261" s="66"/>
      <c r="B261" s="4" t="str">
        <f>IF(AND(ISBLANK('[1]Demand'!Y2898),'[1]Demand'!T2898&gt;0),'[1]Demand'!T2898," ")</f>
        <v> </v>
      </c>
      <c r="C261" s="15" t="str">
        <f>IF(AND(ISBLANK('[1]Demand'!Y2898),'[1]Demand'!S2898&gt;0),'[1]Demand'!S2898," ")</f>
        <v> </v>
      </c>
      <c r="E261" s="76" t="str">
        <f>IF(AND(ISBLANK('[1]Demand'!Y2898),'[1]Demand'!U2898&gt;0),'[1]Demand'!U2898," ")</f>
        <v> </v>
      </c>
      <c r="F261" s="46"/>
      <c r="G261" s="77" t="str">
        <f>IF(AND(ISBLANK('[1]Demand'!Y2898),'[1]Demand'!V2898&gt;0),'[1]Demand'!V2898," ")</f>
        <v> </v>
      </c>
      <c r="H261" s="46"/>
      <c r="I261" s="78" t="str">
        <f>IF(AND(ISBLANK('[1]Demand'!Y2898),'[1]Demand'!W2898&gt;0),'[1]Demand'!W2898," ")</f>
        <v> </v>
      </c>
    </row>
    <row r="262" spans="1:9" ht="12.75" customHeight="1">
      <c r="A262" s="66"/>
      <c r="B262" s="4" t="str">
        <f>IF(AND(ISBLANK('[1]Demand'!Y2899),'[1]Demand'!T2899&gt;0),'[1]Demand'!T2899," ")</f>
        <v> </v>
      </c>
      <c r="C262" s="15" t="str">
        <f>IF(AND(ISBLANK('[1]Demand'!Y2899),'[1]Demand'!S2899&gt;0),'[1]Demand'!S2899," ")</f>
        <v> </v>
      </c>
      <c r="E262" s="76" t="str">
        <f>IF(AND(ISBLANK('[1]Demand'!Y2899),'[1]Demand'!U2899&gt;0),'[1]Demand'!U2899," ")</f>
        <v> </v>
      </c>
      <c r="F262" s="46"/>
      <c r="G262" s="77" t="str">
        <f>IF(AND(ISBLANK('[1]Demand'!Y2899),'[1]Demand'!V2899&gt;0),'[1]Demand'!V2899," ")</f>
        <v> </v>
      </c>
      <c r="H262" s="46"/>
      <c r="I262" s="78" t="str">
        <f>IF(AND(ISBLANK('[1]Demand'!Y2899),'[1]Demand'!W2899&gt;0),'[1]Demand'!W2899," ")</f>
        <v> </v>
      </c>
    </row>
    <row r="263" spans="1:9" ht="12.75" customHeight="1">
      <c r="A263" s="66"/>
      <c r="B263" s="4" t="str">
        <f>IF(AND(ISBLANK('[1]Demand'!Y2900),'[1]Demand'!T2900&gt;0),'[1]Demand'!T2900," ")</f>
        <v> </v>
      </c>
      <c r="C263" s="15" t="str">
        <f>IF(AND(ISBLANK('[1]Demand'!Y2900),'[1]Demand'!S2900&gt;0),'[1]Demand'!S2900," ")</f>
        <v> </v>
      </c>
      <c r="E263" s="76" t="str">
        <f>IF(AND(ISBLANK('[1]Demand'!Y2900),'[1]Demand'!U2900&gt;0),'[1]Demand'!U2900," ")</f>
        <v> </v>
      </c>
      <c r="F263" s="46"/>
      <c r="G263" s="77" t="str">
        <f>IF(AND(ISBLANK('[1]Demand'!Y2900),'[1]Demand'!V2900&gt;0),'[1]Demand'!V2900," ")</f>
        <v> </v>
      </c>
      <c r="H263" s="46"/>
      <c r="I263" s="78" t="str">
        <f>IF(AND(ISBLANK('[1]Demand'!Y2900),'[1]Demand'!W2900&gt;0),'[1]Demand'!W2900," ")</f>
        <v> </v>
      </c>
    </row>
    <row r="264" spans="1:9" ht="12.75" customHeight="1" thickBot="1">
      <c r="A264" s="89" t="s">
        <v>117</v>
      </c>
      <c r="B264" s="86"/>
      <c r="C264" s="86"/>
      <c r="D264" s="94"/>
      <c r="E264" s="95"/>
      <c r="F264" s="86"/>
      <c r="G264" s="89"/>
      <c r="H264" s="86"/>
      <c r="I264" s="58">
        <f>SUM(I255:I263)</f>
        <v>1234220</v>
      </c>
    </row>
    <row r="265" spans="1:9" ht="12.75" customHeight="1">
      <c r="A265" s="66"/>
      <c r="E265" s="90"/>
      <c r="G265" s="66"/>
      <c r="I265" s="57"/>
    </row>
    <row r="266" spans="1:9" ht="12.75" customHeight="1">
      <c r="A266" s="91" t="s">
        <v>48</v>
      </c>
      <c r="B266" s="75"/>
      <c r="E266" s="90"/>
      <c r="G266" s="66"/>
      <c r="I266" s="73"/>
    </row>
    <row r="267" spans="1:9" ht="12.75" customHeight="1">
      <c r="A267" s="66"/>
      <c r="B267" s="4" t="s">
        <v>48</v>
      </c>
      <c r="D267" s="15" t="str">
        <f>IF(AND(E267&gt;0,'[1]Instruct &amp; Input'!$Z$34="Y"),"*"," ")</f>
        <v> </v>
      </c>
      <c r="E267" s="90"/>
      <c r="G267" s="66"/>
      <c r="I267" s="57">
        <f>ROUND(G267*E267,0)</f>
        <v>0</v>
      </c>
    </row>
    <row r="268" spans="1:9" ht="12.75" customHeight="1">
      <c r="A268" s="79"/>
      <c r="B268" s="4" t="s">
        <v>102</v>
      </c>
      <c r="C268" s="4" t="s">
        <v>103</v>
      </c>
      <c r="D268" s="15" t="str">
        <f>IF(AND(E268&gt;0,'[1]Instruct &amp; Input'!$Z$34="Y"),"*"," ")</f>
        <v> </v>
      </c>
      <c r="E268" s="90"/>
      <c r="G268" s="66"/>
      <c r="I268" s="92">
        <f>ROUND(G268*E268,0)</f>
        <v>0</v>
      </c>
    </row>
    <row r="269" spans="1:9" ht="12.75" customHeight="1" thickBot="1">
      <c r="A269" s="93" t="s">
        <v>104</v>
      </c>
      <c r="B269" s="86"/>
      <c r="C269" s="86"/>
      <c r="D269" s="94"/>
      <c r="E269" s="95"/>
      <c r="F269" s="86"/>
      <c r="G269" s="89"/>
      <c r="H269" s="86"/>
      <c r="I269" s="58">
        <f>SUM(I267:I268)</f>
        <v>0</v>
      </c>
    </row>
    <row r="270" spans="1:9" ht="12.75" customHeight="1">
      <c r="A270" s="45"/>
      <c r="E270" s="90"/>
      <c r="G270" s="66"/>
      <c r="I270" s="73"/>
    </row>
    <row r="271" spans="1:9" ht="12.75" customHeight="1">
      <c r="A271" s="96" t="s">
        <v>49</v>
      </c>
      <c r="B271" s="75"/>
      <c r="E271" s="90"/>
      <c r="G271" s="66"/>
      <c r="I271" s="73"/>
    </row>
    <row r="272" spans="1:9" ht="12.75" customHeight="1">
      <c r="A272" s="66"/>
      <c r="B272" s="4" t="s">
        <v>118</v>
      </c>
      <c r="E272" s="90"/>
      <c r="G272" s="66"/>
      <c r="I272" s="57">
        <f>ROUND(G272*E272,0)</f>
        <v>0</v>
      </c>
    </row>
    <row r="273" spans="1:9" ht="12.75" customHeight="1">
      <c r="A273" s="66"/>
      <c r="B273" s="4" t="s">
        <v>119</v>
      </c>
      <c r="E273" s="90"/>
      <c r="G273" s="66"/>
      <c r="I273" s="92">
        <f>ROUND(G273*E273,0)</f>
        <v>0</v>
      </c>
    </row>
    <row r="274" spans="1:9" ht="12.75" customHeight="1" thickBot="1">
      <c r="A274" s="89" t="s">
        <v>106</v>
      </c>
      <c r="B274" s="86"/>
      <c r="C274" s="86"/>
      <c r="D274" s="94"/>
      <c r="E274" s="95"/>
      <c r="F274" s="86"/>
      <c r="G274" s="89"/>
      <c r="H274" s="86"/>
      <c r="I274" s="97">
        <f>SUM(I272:I273)</f>
        <v>0</v>
      </c>
    </row>
    <row r="275" spans="1:9" ht="12.75" customHeight="1">
      <c r="A275" s="117"/>
      <c r="E275" s="98"/>
      <c r="G275" s="55"/>
      <c r="I275" s="73"/>
    </row>
    <row r="276" spans="1:9" ht="12.75" customHeight="1" thickBot="1">
      <c r="A276" s="40" t="s">
        <v>107</v>
      </c>
      <c r="B276" s="8"/>
      <c r="C276" s="8"/>
      <c r="D276" s="12"/>
      <c r="E276" s="99"/>
      <c r="F276" s="8"/>
      <c r="G276" s="59"/>
      <c r="H276" s="83"/>
      <c r="I276" s="58">
        <f>SUM(I255:I274)/2</f>
        <v>1234220</v>
      </c>
    </row>
    <row r="277" spans="5:7" ht="12.75" customHeight="1">
      <c r="E277" s="98"/>
      <c r="G277" s="55"/>
    </row>
    <row r="278" ht="12.75" customHeight="1">
      <c r="G278" s="55"/>
    </row>
    <row r="279" spans="1:7" ht="12.75" customHeight="1">
      <c r="A279" s="101"/>
      <c r="B279" s="32" t="s">
        <v>108</v>
      </c>
      <c r="C279" s="4" t="s">
        <v>109</v>
      </c>
      <c r="G279" s="55"/>
    </row>
    <row r="280" spans="1:7" ht="12.75" customHeight="1">
      <c r="A280" s="55"/>
      <c r="C280" s="4" t="s">
        <v>110</v>
      </c>
      <c r="G280" s="55"/>
    </row>
    <row r="281" spans="1:7" ht="12.75" customHeight="1">
      <c r="A281" s="55"/>
      <c r="C281" s="4" t="s">
        <v>111</v>
      </c>
      <c r="G281" s="55"/>
    </row>
    <row r="282" spans="3:7" ht="12.75" customHeight="1">
      <c r="C282" s="4" t="s">
        <v>112</v>
      </c>
      <c r="G282" s="55"/>
    </row>
    <row r="283" ht="12.75" customHeight="1">
      <c r="G283" s="55"/>
    </row>
    <row r="284" spans="1:9" ht="12.75" customHeight="1">
      <c r="A284" s="32"/>
      <c r="I284" s="32" t="s">
        <v>75</v>
      </c>
    </row>
    <row r="285" spans="1:9" ht="12.75" customHeight="1">
      <c r="A285" s="32"/>
      <c r="I285" s="32" t="str">
        <f>IF('[1]Scratch Pad'!C10="N","Page "&amp;'[1]Scratch Pad'!D10&amp;" of 6","MISCELLANEOUS")</f>
        <v>MISCELLANEOUS</v>
      </c>
    </row>
    <row r="286" spans="1:9" ht="12.75" customHeight="1">
      <c r="A286" s="2" t="s">
        <v>0</v>
      </c>
      <c r="B286" s="2"/>
      <c r="C286" s="2"/>
      <c r="D286" s="2"/>
      <c r="E286" s="2"/>
      <c r="F286" s="2"/>
      <c r="G286" s="2"/>
      <c r="H286" s="2"/>
      <c r="I286" s="2"/>
    </row>
    <row r="287" spans="1:9" ht="12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 customHeight="1">
      <c r="A288" s="33" t="s">
        <v>1</v>
      </c>
      <c r="B288" s="2"/>
      <c r="C288" s="2"/>
      <c r="D288" s="2"/>
      <c r="E288" s="2"/>
      <c r="F288" s="2"/>
      <c r="G288" s="2"/>
      <c r="H288" s="2"/>
      <c r="I288" s="2"/>
    </row>
    <row r="289" spans="1:9" ht="12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 customHeight="1">
      <c r="A290" s="2" t="s">
        <v>76</v>
      </c>
      <c r="B290" s="2"/>
      <c r="C290" s="2"/>
      <c r="D290" s="2"/>
      <c r="E290" s="2"/>
      <c r="F290" s="2"/>
      <c r="G290" s="2"/>
      <c r="H290" s="2"/>
      <c r="I290" s="2"/>
    </row>
    <row r="292" spans="3:6" ht="12.75" customHeight="1">
      <c r="C292" s="32" t="s">
        <v>42</v>
      </c>
      <c r="D292" s="12"/>
      <c r="E292" s="62" t="str">
        <f>$E$9</f>
        <v>April 29, 2009</v>
      </c>
      <c r="F292" s="4" t="s">
        <v>43</v>
      </c>
    </row>
    <row r="293" spans="3:5" ht="12.75" customHeight="1">
      <c r="C293" s="32" t="s">
        <v>44</v>
      </c>
      <c r="D293" s="12"/>
      <c r="E293" s="62" t="str">
        <f>E$10</f>
        <v>April 30, 2010</v>
      </c>
    </row>
    <row r="295" spans="1:9" ht="12.75" customHeight="1">
      <c r="A295" s="46"/>
      <c r="C295" s="32" t="s">
        <v>77</v>
      </c>
      <c r="D295" s="12"/>
      <c r="E295" s="63" t="s">
        <v>124</v>
      </c>
      <c r="F295" s="8"/>
      <c r="G295" s="8"/>
      <c r="H295" s="8"/>
      <c r="I295" s="8"/>
    </row>
    <row r="296" spans="1:9" ht="12.75" customHeight="1">
      <c r="A296" s="64"/>
      <c r="C296" s="32" t="s">
        <v>78</v>
      </c>
      <c r="D296" s="12"/>
      <c r="E296" s="63" t="s">
        <v>79</v>
      </c>
      <c r="F296" s="8"/>
      <c r="G296" s="8"/>
      <c r="H296" s="8"/>
      <c r="I296" s="8"/>
    </row>
    <row r="297" spans="3:9" ht="12.75" customHeight="1">
      <c r="C297" s="32" t="s">
        <v>80</v>
      </c>
      <c r="D297" s="12"/>
      <c r="E297" s="62" t="str">
        <f>'[1]Demand'!Z2901</f>
        <v>Per Contract</v>
      </c>
      <c r="H297" s="32" t="s">
        <v>81</v>
      </c>
      <c r="I297" s="112" t="str">
        <f>IF(ISBLANK('[1]Demand'!AA2900)," ",'[1]Demand'!AA2900)</f>
        <v>N/A</v>
      </c>
    </row>
    <row r="299" spans="1:9" ht="12.75" customHeight="1">
      <c r="A299" s="55"/>
      <c r="C299" s="32" t="s">
        <v>82</v>
      </c>
      <c r="D299" s="12" t="s">
        <v>83</v>
      </c>
      <c r="E299" s="4" t="s">
        <v>84</v>
      </c>
      <c r="F299" s="12"/>
      <c r="G299" s="4" t="s">
        <v>85</v>
      </c>
      <c r="H299" s="12"/>
      <c r="I299" s="4" t="s">
        <v>86</v>
      </c>
    </row>
    <row r="300" spans="1:9" ht="12.75" customHeight="1">
      <c r="A300" s="55"/>
      <c r="C300" s="32" t="s">
        <v>87</v>
      </c>
      <c r="D300" s="12"/>
      <c r="E300" s="4" t="s">
        <v>88</v>
      </c>
      <c r="F300" s="12" t="s">
        <v>83</v>
      </c>
      <c r="G300" s="4" t="s">
        <v>89</v>
      </c>
      <c r="H300" s="12"/>
      <c r="I300" s="4" t="s">
        <v>90</v>
      </c>
    </row>
    <row r="301" spans="1:8" ht="12.75" customHeight="1">
      <c r="A301" s="55"/>
      <c r="C301" s="32" t="s">
        <v>91</v>
      </c>
      <c r="D301" s="12" t="s">
        <v>83</v>
      </c>
      <c r="E301" s="4" t="s">
        <v>92</v>
      </c>
      <c r="F301" s="12"/>
      <c r="G301" s="4" t="s">
        <v>93</v>
      </c>
      <c r="H301" s="15"/>
    </row>
    <row r="302" ht="12.75" customHeight="1">
      <c r="A302" s="55"/>
    </row>
    <row r="303" spans="1:9" ht="12.75" customHeight="1">
      <c r="A303" s="59"/>
      <c r="B303" s="9"/>
      <c r="C303" s="9"/>
      <c r="D303" s="12"/>
      <c r="E303" s="9"/>
      <c r="F303" s="9"/>
      <c r="G303" s="9"/>
      <c r="H303" s="9"/>
      <c r="I303" s="9"/>
    </row>
    <row r="304" spans="1:9" ht="12.75" customHeight="1">
      <c r="A304" s="66"/>
      <c r="B304" s="7"/>
      <c r="C304" s="7"/>
      <c r="D304" s="67"/>
      <c r="E304" s="68" t="s">
        <v>94</v>
      </c>
      <c r="F304" s="7"/>
      <c r="G304" s="68" t="s">
        <v>95</v>
      </c>
      <c r="H304" s="7"/>
      <c r="I304" s="69" t="s">
        <v>96</v>
      </c>
    </row>
    <row r="305" spans="1:9" ht="12.75" customHeight="1">
      <c r="A305" s="70"/>
      <c r="B305" s="9" t="s">
        <v>97</v>
      </c>
      <c r="C305" s="9"/>
      <c r="D305" s="12"/>
      <c r="E305" s="71" t="s">
        <v>98</v>
      </c>
      <c r="F305" s="9"/>
      <c r="G305" s="71" t="s">
        <v>99</v>
      </c>
      <c r="H305" s="9"/>
      <c r="I305" s="72" t="s">
        <v>100</v>
      </c>
    </row>
    <row r="306" spans="1:9" ht="12.75" customHeight="1">
      <c r="A306" s="66"/>
      <c r="E306" s="45"/>
      <c r="G306" s="45"/>
      <c r="I306" s="73"/>
    </row>
    <row r="307" spans="1:9" ht="12.75" customHeight="1">
      <c r="A307" s="74" t="s">
        <v>47</v>
      </c>
      <c r="B307" s="75"/>
      <c r="E307" s="45"/>
      <c r="G307" s="45"/>
      <c r="I307" s="73"/>
    </row>
    <row r="308" spans="1:9" ht="12.75" customHeight="1">
      <c r="A308" s="66"/>
      <c r="B308" s="4" t="str">
        <f>IF(AND(ISBLANK('[1]Demand'!Y2901),'[1]Demand'!T2901&gt;0),'[1]Demand'!T2901," ")</f>
        <v> </v>
      </c>
      <c r="C308" s="15" t="str">
        <f>IF(AND(ISBLANK('[1]Demand'!Y2901),'[1]Demand'!S2901&gt;0),'[1]Demand'!S2901," ")</f>
        <v> </v>
      </c>
      <c r="D308" s="15" t="str">
        <f>IF(AND(E308&gt;0,'[1]Demand'!AB2900="Y"),"*"," ")</f>
        <v> </v>
      </c>
      <c r="E308" s="76" t="str">
        <f>IF(AND(ISBLANK('[1]Demand'!Y2901),'[1]Demand'!U2901&gt;0),'[1]Demand'!U2901," ")</f>
        <v> </v>
      </c>
      <c r="F308" s="46"/>
      <c r="G308" s="77" t="str">
        <f>IF(AND(ISBLANK('[1]Demand'!Y2901),'[1]Demand'!V2901&gt;0),'[1]Demand'!V2901," ")</f>
        <v> </v>
      </c>
      <c r="H308" s="46"/>
      <c r="I308" s="78" t="str">
        <f>IF(AND(ISBLANK('[1]Demand'!Y2901),'[1]Demand'!W2901&gt;0),'[1]Demand'!W2901," ")</f>
        <v> </v>
      </c>
    </row>
    <row r="309" spans="1:9" ht="12.75" customHeight="1">
      <c r="A309" s="79"/>
      <c r="B309" s="4" t="str">
        <f>IF(AND(ISBLANK('[1]Demand'!Y2902),'[1]Demand'!T2902&gt;0),'[1]Demand'!T2902," ")</f>
        <v> </v>
      </c>
      <c r="C309" s="15" t="str">
        <f>IF(AND(ISBLANK('[1]Demand'!Y2902),'[1]Demand'!S2902&gt;0),'[1]Demand'!S2902," ")</f>
        <v> </v>
      </c>
      <c r="D309" s="15" t="str">
        <f>IF(AND(E309&gt;0,'[1]Demand'!AB2901="Y"),"*"," ")</f>
        <v> </v>
      </c>
      <c r="E309" s="76" t="str">
        <f>IF(AND(ISBLANK('[1]Demand'!Y2902),'[1]Demand'!U2902&gt;0),'[1]Demand'!U2902," ")</f>
        <v> </v>
      </c>
      <c r="F309" s="46"/>
      <c r="G309" s="77" t="str">
        <f>IF(AND(ISBLANK('[1]Demand'!Y2902),'[1]Demand'!V2902&gt;0),'[1]Demand'!V2902," ")</f>
        <v> </v>
      </c>
      <c r="H309" s="46"/>
      <c r="I309" s="78" t="str">
        <f>IF(AND(ISBLANK('[1]Demand'!Y2902),'[1]Demand'!W2902&gt;0),'[1]Demand'!W2902," ")</f>
        <v> </v>
      </c>
    </row>
    <row r="310" spans="1:9" ht="12.75" customHeight="1">
      <c r="A310" s="66"/>
      <c r="B310" s="4" t="str">
        <f>IF(AND(ISBLANK('[1]Demand'!Y2903),'[1]Demand'!T2903&gt;0),'[1]Demand'!T2903," ")</f>
        <v> </v>
      </c>
      <c r="C310" s="15" t="str">
        <f>IF(AND(ISBLANK('[1]Demand'!Y2903),'[1]Demand'!S2903&gt;0),'[1]Demand'!S2903," ")</f>
        <v> </v>
      </c>
      <c r="D310" s="15" t="str">
        <f>IF(AND(E310&gt;0,'[1]Demand'!AB2902="Y"),"*"," ")</f>
        <v> </v>
      </c>
      <c r="E310" s="76" t="str">
        <f>IF(AND(ISBLANK('[1]Demand'!Y2903),'[1]Demand'!U2903&gt;0),'[1]Demand'!U2903," ")</f>
        <v> </v>
      </c>
      <c r="F310" s="46"/>
      <c r="G310" s="77" t="str">
        <f>IF(AND(ISBLANK('[1]Demand'!Y2903),'[1]Demand'!V2903&gt;0),'[1]Demand'!V2903," ")</f>
        <v> </v>
      </c>
      <c r="H310" s="46"/>
      <c r="I310" s="78" t="str">
        <f>IF(AND(ISBLANK('[1]Demand'!Y2903),'[1]Demand'!W2903&gt;0),'[1]Demand'!W2903," ")</f>
        <v> </v>
      </c>
    </row>
    <row r="311" spans="1:9" ht="12.75" customHeight="1">
      <c r="A311" s="66"/>
      <c r="B311" s="4" t="str">
        <f>IF(AND(ISBLANK('[1]Demand'!Y2904),'[1]Demand'!T2904&gt;0),'[1]Demand'!T2904," ")</f>
        <v> </v>
      </c>
      <c r="C311" s="15" t="str">
        <f>IF(AND(ISBLANK('[1]Demand'!Y2904),'[1]Demand'!S2904&gt;0),'[1]Demand'!S2904," ")</f>
        <v> </v>
      </c>
      <c r="D311" s="15" t="str">
        <f>IF(AND(E311&gt;0,'[1]Demand'!AB2903="Y"),"*"," ")</f>
        <v> </v>
      </c>
      <c r="E311" s="76" t="str">
        <f>IF(AND(ISBLANK('[1]Demand'!Y2904),'[1]Demand'!U2904&gt;0),'[1]Demand'!U2904," ")</f>
        <v> </v>
      </c>
      <c r="F311" s="46"/>
      <c r="G311" s="77" t="str">
        <f>IF(AND(ISBLANK('[1]Demand'!Y2904),'[1]Demand'!V2904&gt;0),'[1]Demand'!V2904," ")</f>
        <v> </v>
      </c>
      <c r="H311" s="46"/>
      <c r="I311" s="78" t="str">
        <f>IF(AND(ISBLANK('[1]Demand'!Y2904),'[1]Demand'!W2904&gt;0),'[1]Demand'!W2904," ")</f>
        <v> </v>
      </c>
    </row>
    <row r="312" spans="1:9" ht="12.75" customHeight="1">
      <c r="A312" s="66"/>
      <c r="B312" s="4" t="str">
        <f>IF(AND(ISBLANK('[1]Demand'!Y2905),'[1]Demand'!T2905&gt;0),'[1]Demand'!T2905," ")</f>
        <v> </v>
      </c>
      <c r="C312" s="15" t="str">
        <f>IF(AND(ISBLANK('[1]Demand'!Y2905),'[1]Demand'!S2905&gt;0),'[1]Demand'!S2905," ")</f>
        <v> </v>
      </c>
      <c r="D312" s="15" t="str">
        <f>IF(AND(E312&gt;0,'[1]Demand'!AB2904="Y"),"*"," ")</f>
        <v> </v>
      </c>
      <c r="E312" s="76" t="str">
        <f>IF(AND(ISBLANK('[1]Demand'!Y2905),'[1]Demand'!U2905&gt;0),'[1]Demand'!U2905," ")</f>
        <v> </v>
      </c>
      <c r="F312" s="46"/>
      <c r="G312" s="77" t="str">
        <f>IF(AND(ISBLANK('[1]Demand'!Y2905),'[1]Demand'!V2905&gt;0),'[1]Demand'!V2905," ")</f>
        <v> </v>
      </c>
      <c r="H312" s="46"/>
      <c r="I312" s="78" t="str">
        <f>IF(AND(ISBLANK('[1]Demand'!Y2905),'[1]Demand'!W2905&gt;0),'[1]Demand'!W2905," ")</f>
        <v> </v>
      </c>
    </row>
    <row r="313" spans="1:9" ht="12.75" customHeight="1">
      <c r="A313" s="66"/>
      <c r="B313" s="4" t="str">
        <f>IF(AND(ISBLANK('[1]Demand'!Y2906),'[1]Demand'!T2906&gt;0),'[1]Demand'!T2906," ")</f>
        <v> </v>
      </c>
      <c r="C313" s="15" t="str">
        <f>IF(AND(ISBLANK('[1]Demand'!Y2906),'[1]Demand'!S2906&gt;0),'[1]Demand'!S2906," ")</f>
        <v> </v>
      </c>
      <c r="D313" s="15" t="str">
        <f>IF(AND(E313&gt;0,'[1]Demand'!AB2905="Y"),"*"," ")</f>
        <v> </v>
      </c>
      <c r="E313" s="76" t="str">
        <f>IF(AND(ISBLANK('[1]Demand'!Y2906),'[1]Demand'!U2906&gt;0),'[1]Demand'!U2906," ")</f>
        <v> </v>
      </c>
      <c r="F313" s="46"/>
      <c r="G313" s="77" t="str">
        <f>IF(AND(ISBLANK('[1]Demand'!Y2906),'[1]Demand'!V2906&gt;0),'[1]Demand'!V2906," ")</f>
        <v> </v>
      </c>
      <c r="H313" s="46"/>
      <c r="I313" s="78" t="str">
        <f>IF(AND(ISBLANK('[1]Demand'!Y2906),'[1]Demand'!W2906&gt;0),'[1]Demand'!W2906," ")</f>
        <v> </v>
      </c>
    </row>
    <row r="314" spans="1:9" ht="12.75" customHeight="1">
      <c r="A314" s="66"/>
      <c r="B314" s="4" t="str">
        <f>IF(AND(ISBLANK('[1]Demand'!Y2907),'[1]Demand'!T2907&gt;0),'[1]Demand'!T2907," ")</f>
        <v> </v>
      </c>
      <c r="C314" s="15" t="str">
        <f>IF(AND(ISBLANK('[1]Demand'!Y2907),'[1]Demand'!S2907&gt;0),'[1]Demand'!S2907," ")</f>
        <v> </v>
      </c>
      <c r="D314" s="15" t="str">
        <f>IF(AND(E314&gt;0,'[1]Demand'!AB2906="Y"),"*"," ")</f>
        <v> </v>
      </c>
      <c r="E314" s="76" t="str">
        <f>IF(AND(ISBLANK('[1]Demand'!Y2907),'[1]Demand'!U2907&gt;0),'[1]Demand'!U2907," ")</f>
        <v> </v>
      </c>
      <c r="F314" s="46"/>
      <c r="G314" s="77" t="str">
        <f>IF(AND(ISBLANK('[1]Demand'!Y2907),'[1]Demand'!V2907&gt;0),'[1]Demand'!V2907," ")</f>
        <v> </v>
      </c>
      <c r="H314" s="46"/>
      <c r="I314" s="78" t="str">
        <f>IF(AND(ISBLANK('[1]Demand'!Y2907),'[1]Demand'!W2907&gt;0),'[1]Demand'!W2907," ")</f>
        <v> </v>
      </c>
    </row>
    <row r="315" spans="1:9" ht="12.75" customHeight="1">
      <c r="A315" s="66"/>
      <c r="B315" s="4" t="str">
        <f>IF(AND(ISBLANK('[1]Demand'!Y2908),'[1]Demand'!T2908&gt;0),'[1]Demand'!T2908," ")</f>
        <v> </v>
      </c>
      <c r="C315" s="15" t="str">
        <f>IF(AND(ISBLANK('[1]Demand'!Y2908),'[1]Demand'!S2908&gt;0),'[1]Demand'!S2908," ")</f>
        <v> </v>
      </c>
      <c r="D315" s="15" t="str">
        <f>IF(AND(E315&gt;0,'[1]Demand'!AB2907="Y"),"*"," ")</f>
        <v> </v>
      </c>
      <c r="E315" s="76" t="str">
        <f>IF(AND(ISBLANK('[1]Demand'!Y2908),'[1]Demand'!U2908&gt;0),'[1]Demand'!U2908," ")</f>
        <v> </v>
      </c>
      <c r="F315" s="46"/>
      <c r="G315" s="77" t="str">
        <f>IF(AND(ISBLANK('[1]Demand'!Y2908),'[1]Demand'!V2908&gt;0),'[1]Demand'!V2908," ")</f>
        <v> </v>
      </c>
      <c r="H315" s="46"/>
      <c r="I315" s="78" t="str">
        <f>IF(AND(ISBLANK('[1]Demand'!Y2908),'[1]Demand'!W2908&gt;0),'[1]Demand'!W2908," ")</f>
        <v> </v>
      </c>
    </row>
    <row r="316" spans="1:9" ht="12.75" customHeight="1">
      <c r="A316" s="66"/>
      <c r="B316" s="4" t="str">
        <f>IF(AND(ISBLANK('[1]Demand'!Y2909),'[1]Demand'!T2909&gt;0),'[1]Demand'!T2909," ")</f>
        <v> </v>
      </c>
      <c r="C316" s="15" t="str">
        <f>IF(AND(ISBLANK('[1]Demand'!Y2909),'[1]Demand'!S2909&gt;0),'[1]Demand'!S2909," ")</f>
        <v> </v>
      </c>
      <c r="D316" s="15" t="str">
        <f>IF(AND(E316&gt;0,'[1]Demand'!AB2908="Y"),"*"," ")</f>
        <v> </v>
      </c>
      <c r="E316" s="76" t="str">
        <f>IF(AND(ISBLANK('[1]Demand'!Y2909),'[1]Demand'!U2909&gt;0),'[1]Demand'!U2909," ")</f>
        <v> </v>
      </c>
      <c r="F316" s="46"/>
      <c r="G316" s="77" t="str">
        <f>IF(AND(ISBLANK('[1]Demand'!Y2909),'[1]Demand'!V2909&gt;0),'[1]Demand'!V2909," ")</f>
        <v> </v>
      </c>
      <c r="H316" s="46"/>
      <c r="I316" s="78" t="str">
        <f>IF(AND(ISBLANK('[1]Demand'!Y2909),'[1]Demand'!W2909&gt;0),'[1]Demand'!W2909," ")</f>
        <v> </v>
      </c>
    </row>
    <row r="317" spans="1:9" ht="12.75" customHeight="1" thickBot="1">
      <c r="A317" s="89" t="s">
        <v>117</v>
      </c>
      <c r="B317" s="86"/>
      <c r="C317" s="86"/>
      <c r="D317" s="94"/>
      <c r="E317" s="95"/>
      <c r="F317" s="86"/>
      <c r="G317" s="89"/>
      <c r="H317" s="86"/>
      <c r="I317" s="58">
        <f>SUM(I308:I316)</f>
        <v>0</v>
      </c>
    </row>
    <row r="318" spans="1:9" ht="12.75" customHeight="1">
      <c r="A318" s="66"/>
      <c r="E318" s="90"/>
      <c r="G318" s="66"/>
      <c r="I318" s="57"/>
    </row>
    <row r="319" spans="1:9" ht="12.75" customHeight="1">
      <c r="A319" s="91" t="s">
        <v>48</v>
      </c>
      <c r="B319" s="75"/>
      <c r="E319" s="90"/>
      <c r="G319" s="66"/>
      <c r="I319" s="73"/>
    </row>
    <row r="320" spans="1:9" ht="12.75" customHeight="1">
      <c r="A320" s="66"/>
      <c r="B320" s="4" t="s">
        <v>48</v>
      </c>
      <c r="D320" s="15" t="str">
        <f>IF(AND(E320&gt;0,'[1]Instruct &amp; Input'!$Z$34="Y"),"*"," ")</f>
        <v> </v>
      </c>
      <c r="E320" s="90"/>
      <c r="G320" s="66">
        <v>0</v>
      </c>
      <c r="I320" s="57">
        <f>ROUND(G320*E320,0)</f>
        <v>0</v>
      </c>
    </row>
    <row r="321" spans="1:9" ht="12.75" customHeight="1">
      <c r="A321" s="79"/>
      <c r="B321" s="4" t="s">
        <v>102</v>
      </c>
      <c r="C321" s="4" t="s">
        <v>103</v>
      </c>
      <c r="D321" s="15" t="str">
        <f>IF(AND(E321&gt;0,'[1]Instruct &amp; Input'!$Z$34="Y"),"*"," ")</f>
        <v> </v>
      </c>
      <c r="E321" s="90"/>
      <c r="G321" s="66"/>
      <c r="I321" s="92">
        <f>ROUND(G321*E321,0)</f>
        <v>0</v>
      </c>
    </row>
    <row r="322" spans="1:9" ht="12.75" customHeight="1" thickBot="1">
      <c r="A322" s="93" t="s">
        <v>104</v>
      </c>
      <c r="B322" s="86"/>
      <c r="C322" s="86"/>
      <c r="D322" s="94"/>
      <c r="E322" s="95"/>
      <c r="F322" s="86"/>
      <c r="G322" s="89"/>
      <c r="H322" s="86"/>
      <c r="I322" s="58">
        <f>SUM(I320:I321)</f>
        <v>0</v>
      </c>
    </row>
    <row r="323" spans="1:9" ht="12.75" customHeight="1">
      <c r="A323" s="45"/>
      <c r="E323" s="90"/>
      <c r="G323" s="66"/>
      <c r="I323" s="73"/>
    </row>
    <row r="324" spans="1:9" ht="12.75" customHeight="1">
      <c r="A324" s="96" t="s">
        <v>49</v>
      </c>
      <c r="B324" s="75"/>
      <c r="E324" s="90"/>
      <c r="G324" s="66"/>
      <c r="I324" s="73"/>
    </row>
    <row r="325" spans="1:9" ht="12.75" customHeight="1">
      <c r="A325" s="66"/>
      <c r="B325" s="4" t="str">
        <f>'[1]Instruct &amp; Input'!W45</f>
        <v>GSS - Injection</v>
      </c>
      <c r="D325" s="15" t="str">
        <f>IF(AND(E325&gt;0,'[1]Instruct &amp; Input'!$Z$45="Y"),"*"," ")</f>
        <v> </v>
      </c>
      <c r="E325" s="90">
        <f>'[1]Instruct &amp; Input'!Y45</f>
        <v>0</v>
      </c>
      <c r="G325" s="66"/>
      <c r="I325" s="57">
        <f>ROUND(G325*E325,0)</f>
        <v>0</v>
      </c>
    </row>
    <row r="326" spans="1:9" ht="12.75" customHeight="1">
      <c r="A326" s="66"/>
      <c r="B326" s="4" t="str">
        <f>'[1]Instruct &amp; Input'!W46</f>
        <v>GSS - Withdrawal</v>
      </c>
      <c r="D326" s="15" t="str">
        <f>IF(AND(E326&gt;0,'[1]Instruct &amp; Input'!$Z$46="Y"),"*"," ")</f>
        <v> </v>
      </c>
      <c r="E326" s="90">
        <f>'[1]Instruct &amp; Input'!Y46</f>
        <v>0</v>
      </c>
      <c r="G326" s="66"/>
      <c r="I326" s="92">
        <f>ROUND(G326*E326,0)</f>
        <v>0</v>
      </c>
    </row>
    <row r="327" spans="1:9" ht="12.75" customHeight="1" thickBot="1">
      <c r="A327" s="89" t="s">
        <v>106</v>
      </c>
      <c r="B327" s="86"/>
      <c r="C327" s="86"/>
      <c r="D327" s="94"/>
      <c r="E327" s="95"/>
      <c r="F327" s="86"/>
      <c r="G327" s="89"/>
      <c r="H327" s="86"/>
      <c r="I327" s="97">
        <f>SUM(I325:I326)</f>
        <v>0</v>
      </c>
    </row>
    <row r="328" spans="1:9" ht="12.75" customHeight="1">
      <c r="A328" s="55"/>
      <c r="E328" s="98"/>
      <c r="G328" s="55"/>
      <c r="I328" s="73"/>
    </row>
    <row r="329" spans="1:9" ht="12.75" customHeight="1" thickBot="1">
      <c r="A329" s="4" t="s">
        <v>107</v>
      </c>
      <c r="E329" s="98"/>
      <c r="G329" s="55"/>
      <c r="I329" s="58">
        <f>SUM(I308:I327)/2</f>
        <v>0</v>
      </c>
    </row>
    <row r="330" spans="5:7" ht="12.75" customHeight="1">
      <c r="E330" s="98"/>
      <c r="G330" s="55"/>
    </row>
    <row r="331" ht="12.75" customHeight="1">
      <c r="G331" s="55"/>
    </row>
    <row r="332" spans="1:7" ht="12.75" customHeight="1">
      <c r="A332" s="101"/>
      <c r="B332" s="32" t="s">
        <v>108</v>
      </c>
      <c r="C332" s="4" t="s">
        <v>109</v>
      </c>
      <c r="G332" s="55"/>
    </row>
    <row r="333" spans="1:7" ht="12.75" customHeight="1">
      <c r="A333" s="55"/>
      <c r="C333" s="4" t="s">
        <v>110</v>
      </c>
      <c r="G333" s="55"/>
    </row>
    <row r="334" spans="1:7" ht="12.75" customHeight="1">
      <c r="A334" s="55"/>
      <c r="C334" s="4" t="s">
        <v>111</v>
      </c>
      <c r="G334" s="55"/>
    </row>
    <row r="335" spans="3:7" ht="12.75" customHeight="1">
      <c r="C335" s="4" t="s">
        <v>112</v>
      </c>
      <c r="G335" s="55"/>
    </row>
    <row r="336" ht="12.75" customHeight="1">
      <c r="G336" s="55"/>
    </row>
    <row r="337" spans="1:9" ht="12.75" customHeight="1">
      <c r="A337" s="32"/>
      <c r="I337" s="32" t="s">
        <v>75</v>
      </c>
    </row>
    <row r="338" spans="1:9" ht="12.75" customHeight="1">
      <c r="A338" s="32"/>
      <c r="I338" s="32" t="str">
        <f>IF('[1]Scratch Pad'!C11="N","Page "&amp;'[1]Scratch Pad'!D11&amp;" of 6","MISCELLANEOUS")</f>
        <v>MISCELLANEOUS</v>
      </c>
    </row>
    <row r="339" spans="1:9" ht="12.75" customHeight="1">
      <c r="A339" s="2" t="s">
        <v>0</v>
      </c>
      <c r="B339" s="2"/>
      <c r="C339" s="2"/>
      <c r="D339" s="2"/>
      <c r="E339" s="2"/>
      <c r="F339" s="2"/>
      <c r="G339" s="2"/>
      <c r="H339" s="2"/>
      <c r="I339" s="2"/>
    </row>
    <row r="340" spans="1:9" ht="12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 customHeight="1">
      <c r="A341" s="33" t="s">
        <v>1</v>
      </c>
      <c r="B341" s="2"/>
      <c r="C341" s="2"/>
      <c r="D341" s="2"/>
      <c r="E341" s="2"/>
      <c r="F341" s="2"/>
      <c r="G341" s="2"/>
      <c r="H341" s="2"/>
      <c r="I341" s="2"/>
    </row>
    <row r="342" spans="1:9" ht="12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 customHeight="1">
      <c r="A343" s="2" t="s">
        <v>76</v>
      </c>
      <c r="B343" s="2"/>
      <c r="C343" s="2"/>
      <c r="D343" s="2"/>
      <c r="E343" s="2"/>
      <c r="F343" s="2"/>
      <c r="G343" s="2"/>
      <c r="H343" s="2"/>
      <c r="I343" s="2"/>
    </row>
    <row r="345" spans="3:6" ht="12.75" customHeight="1">
      <c r="C345" s="32" t="s">
        <v>42</v>
      </c>
      <c r="D345" s="12"/>
      <c r="E345" s="62" t="str">
        <f>$E$9</f>
        <v>April 29, 2009</v>
      </c>
      <c r="F345" s="4" t="s">
        <v>43</v>
      </c>
    </row>
    <row r="346" spans="3:5" ht="12.75" customHeight="1">
      <c r="C346" s="32" t="s">
        <v>44</v>
      </c>
      <c r="D346" s="12"/>
      <c r="E346" s="62" t="str">
        <f>E$10</f>
        <v>April 30, 2010</v>
      </c>
    </row>
    <row r="348" spans="1:9" ht="12.75" customHeight="1">
      <c r="A348" s="46"/>
      <c r="C348" s="32" t="s">
        <v>77</v>
      </c>
      <c r="D348" s="12"/>
      <c r="E348" s="63" t="s">
        <v>125</v>
      </c>
      <c r="F348" s="8"/>
      <c r="G348" s="8"/>
      <c r="H348" s="8"/>
      <c r="I348" s="8"/>
    </row>
    <row r="349" spans="1:9" ht="12.75" customHeight="1">
      <c r="A349" s="64"/>
      <c r="C349" s="32" t="s">
        <v>78</v>
      </c>
      <c r="D349" s="12"/>
      <c r="E349" s="63" t="s">
        <v>79</v>
      </c>
      <c r="F349" s="8"/>
      <c r="G349" s="8"/>
      <c r="H349" s="8"/>
      <c r="I349" s="8"/>
    </row>
    <row r="350" spans="3:9" ht="12.75" customHeight="1">
      <c r="C350" s="32" t="s">
        <v>80</v>
      </c>
      <c r="D350" s="12"/>
      <c r="E350" s="62" t="str">
        <f>'[1]Demand'!Z2910</f>
        <v>Per Contract</v>
      </c>
      <c r="H350" s="32" t="s">
        <v>81</v>
      </c>
      <c r="I350" s="112" t="str">
        <f>IF(ISBLANK('[1]Demand'!AA2909)," ",'[1]Demand'!AA2909)</f>
        <v>N/A</v>
      </c>
    </row>
    <row r="352" spans="1:9" ht="12.75" customHeight="1">
      <c r="A352" s="55"/>
      <c r="C352" s="32" t="s">
        <v>82</v>
      </c>
      <c r="D352" s="12" t="s">
        <v>83</v>
      </c>
      <c r="E352" s="4" t="s">
        <v>84</v>
      </c>
      <c r="F352" s="12"/>
      <c r="G352" s="4" t="s">
        <v>85</v>
      </c>
      <c r="H352" s="12"/>
      <c r="I352" s="4" t="s">
        <v>86</v>
      </c>
    </row>
    <row r="353" spans="1:9" ht="12.75" customHeight="1">
      <c r="A353" s="55"/>
      <c r="C353" s="32" t="s">
        <v>87</v>
      </c>
      <c r="D353" s="12"/>
      <c r="E353" s="4" t="s">
        <v>88</v>
      </c>
      <c r="F353" s="12" t="s">
        <v>83</v>
      </c>
      <c r="G353" s="4" t="s">
        <v>89</v>
      </c>
      <c r="H353" s="12"/>
      <c r="I353" s="4" t="s">
        <v>90</v>
      </c>
    </row>
    <row r="354" spans="1:8" ht="12.75" customHeight="1">
      <c r="A354" s="55"/>
      <c r="C354" s="32" t="s">
        <v>91</v>
      </c>
      <c r="D354" s="12" t="s">
        <v>83</v>
      </c>
      <c r="E354" s="4" t="s">
        <v>92</v>
      </c>
      <c r="F354" s="12"/>
      <c r="G354" s="4" t="s">
        <v>93</v>
      </c>
      <c r="H354" s="15"/>
    </row>
    <row r="355" ht="12.75" customHeight="1">
      <c r="A355" s="55"/>
    </row>
    <row r="356" spans="1:9" ht="12.75" customHeight="1">
      <c r="A356" s="59"/>
      <c r="B356" s="9"/>
      <c r="C356" s="9"/>
      <c r="D356" s="12"/>
      <c r="E356" s="9"/>
      <c r="F356" s="9"/>
      <c r="G356" s="9"/>
      <c r="H356" s="9"/>
      <c r="I356" s="9"/>
    </row>
    <row r="357" spans="1:9" ht="12.75" customHeight="1">
      <c r="A357" s="66"/>
      <c r="B357" s="7"/>
      <c r="C357" s="7"/>
      <c r="D357" s="67"/>
      <c r="E357" s="68" t="s">
        <v>94</v>
      </c>
      <c r="F357" s="7"/>
      <c r="G357" s="68" t="s">
        <v>95</v>
      </c>
      <c r="H357" s="7"/>
      <c r="I357" s="69" t="s">
        <v>96</v>
      </c>
    </row>
    <row r="358" spans="1:9" ht="12.75" customHeight="1">
      <c r="A358" s="70"/>
      <c r="B358" s="9" t="s">
        <v>97</v>
      </c>
      <c r="C358" s="9"/>
      <c r="D358" s="12"/>
      <c r="E358" s="71" t="s">
        <v>98</v>
      </c>
      <c r="F358" s="9"/>
      <c r="G358" s="71" t="s">
        <v>99</v>
      </c>
      <c r="H358" s="9"/>
      <c r="I358" s="72" t="s">
        <v>100</v>
      </c>
    </row>
    <row r="359" spans="1:9" ht="12.75" customHeight="1">
      <c r="A359" s="66"/>
      <c r="E359" s="45"/>
      <c r="G359" s="45"/>
      <c r="I359" s="73"/>
    </row>
    <row r="360" spans="1:9" ht="12.75" customHeight="1">
      <c r="A360" s="74" t="s">
        <v>47</v>
      </c>
      <c r="B360" s="75"/>
      <c r="E360" s="45"/>
      <c r="G360" s="45"/>
      <c r="I360" s="73"/>
    </row>
    <row r="361" spans="1:9" ht="12.75" customHeight="1">
      <c r="A361" s="66"/>
      <c r="B361" s="4" t="str">
        <f>IF(AND(ISBLANK('[1]Demand'!Y2910),'[1]Demand'!T2910&gt;0),'[1]Demand'!T2910," ")</f>
        <v> </v>
      </c>
      <c r="C361" s="15" t="str">
        <f>IF(AND(ISBLANK('[1]Demand'!Y2910),'[1]Demand'!S2910&gt;0),'[1]Demand'!S2910," ")</f>
        <v> </v>
      </c>
      <c r="D361" s="15" t="str">
        <f>IF(AND(E361&gt;0,'[1]Demand'!AB2909="Y"),"*"," ")</f>
        <v> </v>
      </c>
      <c r="E361" s="76" t="str">
        <f>IF(AND(ISBLANK('[1]Demand'!Y2910),'[1]Demand'!U2910&gt;0),'[1]Demand'!U2910," ")</f>
        <v> </v>
      </c>
      <c r="F361" s="46"/>
      <c r="G361" s="77" t="str">
        <f>IF(AND(ISBLANK('[1]Demand'!Y2910),'[1]Demand'!V2910&gt;0),'[1]Demand'!V2910," ")</f>
        <v> </v>
      </c>
      <c r="H361" s="46"/>
      <c r="I361" s="78" t="str">
        <f>IF(AND(ISBLANK('[1]Demand'!Y2910),'[1]Demand'!W2910&gt;0),'[1]Demand'!W2910," ")</f>
        <v> </v>
      </c>
    </row>
    <row r="362" spans="1:9" ht="12.75" customHeight="1">
      <c r="A362" s="79"/>
      <c r="B362" s="4" t="str">
        <f>IF(AND(ISBLANK('[1]Demand'!Y2911),'[1]Demand'!T2911&gt;0),'[1]Demand'!T2911," ")</f>
        <v> </v>
      </c>
      <c r="C362" s="15" t="str">
        <f>IF(AND(ISBLANK('[1]Demand'!Y2911),'[1]Demand'!S2911&gt;0),'[1]Demand'!S2911," ")</f>
        <v> </v>
      </c>
      <c r="D362" s="15" t="str">
        <f>IF(AND(E362&gt;0,'[1]Demand'!AB2910="Y"),"*"," ")</f>
        <v> </v>
      </c>
      <c r="E362" s="76" t="str">
        <f>IF(AND(ISBLANK('[1]Demand'!Y2911),'[1]Demand'!U2911&gt;0),'[1]Demand'!U2911," ")</f>
        <v> </v>
      </c>
      <c r="F362" s="46"/>
      <c r="G362" s="77" t="str">
        <f>IF(AND(ISBLANK('[1]Demand'!Y2911),'[1]Demand'!V2911&gt;0),'[1]Demand'!V2911," ")</f>
        <v> </v>
      </c>
      <c r="H362" s="46"/>
      <c r="I362" s="78" t="str">
        <f>IF(AND(ISBLANK('[1]Demand'!Y2911),'[1]Demand'!W2911&gt;0),'[1]Demand'!W2911," ")</f>
        <v> </v>
      </c>
    </row>
    <row r="363" spans="1:9" ht="12.75" customHeight="1">
      <c r="A363" s="66"/>
      <c r="B363" s="4" t="str">
        <f>IF(AND(ISBLANK('[1]Demand'!Y2912),'[1]Demand'!T2912&gt;0),'[1]Demand'!T2912," ")</f>
        <v> </v>
      </c>
      <c r="C363" s="15" t="str">
        <f>IF(AND(ISBLANK('[1]Demand'!Y2912),'[1]Demand'!S2912&gt;0),'[1]Demand'!S2912," ")</f>
        <v> </v>
      </c>
      <c r="D363" s="15" t="str">
        <f>IF(AND(E363&gt;0,'[1]Demand'!AB2911="Y"),"*"," ")</f>
        <v> </v>
      </c>
      <c r="E363" s="76" t="str">
        <f>IF(AND(ISBLANK('[1]Demand'!Y2912),'[1]Demand'!U2912&gt;0),'[1]Demand'!U2912," ")</f>
        <v> </v>
      </c>
      <c r="F363" s="46"/>
      <c r="G363" s="77" t="str">
        <f>IF(AND(ISBLANK('[1]Demand'!Y2912),'[1]Demand'!V2912&gt;0),'[1]Demand'!V2912," ")</f>
        <v> </v>
      </c>
      <c r="H363" s="46"/>
      <c r="I363" s="78" t="str">
        <f>IF(AND(ISBLANK('[1]Demand'!Y2912),'[1]Demand'!W2912&gt;0),'[1]Demand'!W2912," ")</f>
        <v> </v>
      </c>
    </row>
    <row r="364" spans="1:9" ht="12.75" customHeight="1">
      <c r="A364" s="66"/>
      <c r="B364" s="4" t="str">
        <f>IF(AND(ISBLANK('[1]Demand'!Y2913),'[1]Demand'!T2913&gt;0),'[1]Demand'!T2913," ")</f>
        <v> </v>
      </c>
      <c r="C364" s="15" t="str">
        <f>IF(AND(ISBLANK('[1]Demand'!Y2913),'[1]Demand'!S2913&gt;0),'[1]Demand'!S2913," ")</f>
        <v> </v>
      </c>
      <c r="D364" s="15" t="str">
        <f>IF(AND(E364&gt;0,'[1]Demand'!AB2912="Y"),"*"," ")</f>
        <v> </v>
      </c>
      <c r="E364" s="76" t="str">
        <f>IF(AND(ISBLANK('[1]Demand'!Y2913),'[1]Demand'!U2913&gt;0),'[1]Demand'!U2913," ")</f>
        <v> </v>
      </c>
      <c r="F364" s="46"/>
      <c r="G364" s="77" t="str">
        <f>IF(AND(ISBLANK('[1]Demand'!Y2913),'[1]Demand'!V2913&gt;0),'[1]Demand'!V2913," ")</f>
        <v> </v>
      </c>
      <c r="H364" s="46"/>
      <c r="I364" s="78" t="str">
        <f>IF(AND(ISBLANK('[1]Demand'!Y2913),'[1]Demand'!W2913&gt;0),'[1]Demand'!W2913," ")</f>
        <v> </v>
      </c>
    </row>
    <row r="365" spans="1:9" ht="12.75" customHeight="1">
      <c r="A365" s="66"/>
      <c r="B365" s="4" t="str">
        <f>IF(AND(ISBLANK('[1]Demand'!Y2914),'[1]Demand'!T2914&gt;0),'[1]Demand'!T2914," ")</f>
        <v> </v>
      </c>
      <c r="C365" s="15" t="str">
        <f>IF(AND(ISBLANK('[1]Demand'!Y2914),'[1]Demand'!S2914&gt;0),'[1]Demand'!S2914," ")</f>
        <v> </v>
      </c>
      <c r="D365" s="15" t="str">
        <f>IF(AND(E365&gt;0,'[1]Demand'!AB2913="Y"),"*"," ")</f>
        <v> </v>
      </c>
      <c r="E365" s="76" t="str">
        <f>IF(AND(ISBLANK('[1]Demand'!Y2914),'[1]Demand'!U2914&gt;0),'[1]Demand'!U2914," ")</f>
        <v> </v>
      </c>
      <c r="F365" s="46"/>
      <c r="G365" s="77" t="str">
        <f>IF(AND(ISBLANK('[1]Demand'!Y2914),'[1]Demand'!V2914&gt;0),'[1]Demand'!V2914," ")</f>
        <v> </v>
      </c>
      <c r="H365" s="46"/>
      <c r="I365" s="78" t="str">
        <f>IF(AND(ISBLANK('[1]Demand'!Y2914),'[1]Demand'!W2914&gt;0),'[1]Demand'!W2914," ")</f>
        <v> </v>
      </c>
    </row>
    <row r="366" spans="1:9" ht="12.75" customHeight="1">
      <c r="A366" s="66"/>
      <c r="B366" s="4" t="str">
        <f>IF(AND(ISBLANK('[1]Demand'!Y2915),'[1]Demand'!T2915&gt;0),'[1]Demand'!T2915," ")</f>
        <v> </v>
      </c>
      <c r="C366" s="15" t="str">
        <f>IF(AND(ISBLANK('[1]Demand'!Y2915),'[1]Demand'!S2915&gt;0),'[1]Demand'!S2915," ")</f>
        <v> </v>
      </c>
      <c r="D366" s="15" t="str">
        <f>IF(AND(E366&gt;0,'[1]Demand'!AB2914="Y"),"*"," ")</f>
        <v> </v>
      </c>
      <c r="E366" s="76" t="str">
        <f>IF(AND(ISBLANK('[1]Demand'!Y2915),'[1]Demand'!U2915&gt;0),'[1]Demand'!U2915," ")</f>
        <v> </v>
      </c>
      <c r="F366" s="46"/>
      <c r="G366" s="77" t="str">
        <f>IF(AND(ISBLANK('[1]Demand'!Y2915),'[1]Demand'!V2915&gt;0),'[1]Demand'!V2915," ")</f>
        <v> </v>
      </c>
      <c r="H366" s="46"/>
      <c r="I366" s="78" t="str">
        <f>IF(AND(ISBLANK('[1]Demand'!Y2915),'[1]Demand'!W2915&gt;0),'[1]Demand'!W2915," ")</f>
        <v> </v>
      </c>
    </row>
    <row r="367" spans="1:9" ht="12.75" customHeight="1">
      <c r="A367" s="66"/>
      <c r="B367" s="4" t="str">
        <f>IF(AND(ISBLANK('[1]Demand'!Y2916),'[1]Demand'!T2916&gt;0),'[1]Demand'!T2916," ")</f>
        <v> </v>
      </c>
      <c r="C367" s="15" t="str">
        <f>IF(AND(ISBLANK('[1]Demand'!Y2916),'[1]Demand'!S2916&gt;0),'[1]Demand'!S2916," ")</f>
        <v> </v>
      </c>
      <c r="D367" s="15" t="str">
        <f>IF(AND(E367&gt;0,'[1]Demand'!AB2915="Y"),"*"," ")</f>
        <v> </v>
      </c>
      <c r="E367" s="76" t="str">
        <f>IF(AND(ISBLANK('[1]Demand'!Y2916),'[1]Demand'!U2916&gt;0),'[1]Demand'!U2916," ")</f>
        <v> </v>
      </c>
      <c r="F367" s="46"/>
      <c r="G367" s="77" t="str">
        <f>IF(AND(ISBLANK('[1]Demand'!Y2916),'[1]Demand'!V2916&gt;0),'[1]Demand'!V2916," ")</f>
        <v> </v>
      </c>
      <c r="H367" s="46"/>
      <c r="I367" s="78" t="str">
        <f>IF(AND(ISBLANK('[1]Demand'!Y2916),'[1]Demand'!W2916&gt;0),'[1]Demand'!W2916," ")</f>
        <v> </v>
      </c>
    </row>
    <row r="368" spans="1:9" ht="12.75" customHeight="1">
      <c r="A368" s="66"/>
      <c r="B368" s="4" t="str">
        <f>IF(AND(ISBLANK('[1]Demand'!Y2917),'[1]Demand'!T2917&gt;0),'[1]Demand'!T2917," ")</f>
        <v> </v>
      </c>
      <c r="C368" s="15" t="str">
        <f>IF(AND(ISBLANK('[1]Demand'!Y2917),'[1]Demand'!S2917&gt;0),'[1]Demand'!S2917," ")</f>
        <v> </v>
      </c>
      <c r="D368" s="15" t="str">
        <f>IF(AND(E368&gt;0,'[1]Demand'!AB2916="Y"),"*"," ")</f>
        <v> </v>
      </c>
      <c r="E368" s="76" t="str">
        <f>IF(AND(ISBLANK('[1]Demand'!Y2917),'[1]Demand'!U2917&gt;0),'[1]Demand'!U2917," ")</f>
        <v> </v>
      </c>
      <c r="F368" s="46"/>
      <c r="G368" s="77" t="str">
        <f>IF(AND(ISBLANK('[1]Demand'!Y2917),'[1]Demand'!V2917&gt;0),'[1]Demand'!V2917," ")</f>
        <v> </v>
      </c>
      <c r="H368" s="46"/>
      <c r="I368" s="78" t="str">
        <f>IF(AND(ISBLANK('[1]Demand'!Y2917),'[1]Demand'!W2917&gt;0),'[1]Demand'!W2917," ")</f>
        <v> </v>
      </c>
    </row>
    <row r="369" spans="1:9" ht="12.75" customHeight="1">
      <c r="A369" s="66"/>
      <c r="B369" s="4" t="str">
        <f>IF(AND(ISBLANK('[1]Demand'!Y2918),'[1]Demand'!T2918&gt;0),'[1]Demand'!T2918," ")</f>
        <v> </v>
      </c>
      <c r="C369" s="15" t="str">
        <f>IF(AND(ISBLANK('[1]Demand'!Y2918),'[1]Demand'!S2918&gt;0),'[1]Demand'!S2918," ")</f>
        <v> </v>
      </c>
      <c r="D369" s="15" t="str">
        <f>IF(AND(E369&gt;0,'[1]Demand'!AB2917="Y"),"*"," ")</f>
        <v> </v>
      </c>
      <c r="E369" s="76" t="str">
        <f>IF(AND(ISBLANK('[1]Demand'!Y2918),'[1]Demand'!U2918&gt;0),'[1]Demand'!U2918," ")</f>
        <v> </v>
      </c>
      <c r="F369" s="46"/>
      <c r="G369" s="77" t="str">
        <f>IF(AND(ISBLANK('[1]Demand'!Y2918),'[1]Demand'!V2918&gt;0),'[1]Demand'!V2918," ")</f>
        <v> </v>
      </c>
      <c r="H369" s="46"/>
      <c r="I369" s="78" t="str">
        <f>IF(AND(ISBLANK('[1]Demand'!Y2918),'[1]Demand'!W2918&gt;0),'[1]Demand'!W2918," ")</f>
        <v> </v>
      </c>
    </row>
    <row r="370" spans="1:9" ht="12.75" customHeight="1" thickBot="1">
      <c r="A370" s="89" t="s">
        <v>117</v>
      </c>
      <c r="B370" s="86"/>
      <c r="C370" s="86"/>
      <c r="D370" s="94"/>
      <c r="E370" s="95"/>
      <c r="F370" s="86"/>
      <c r="G370" s="89"/>
      <c r="H370" s="86"/>
      <c r="I370" s="58">
        <f>SUM(I361:I369)</f>
        <v>0</v>
      </c>
    </row>
    <row r="371" spans="1:9" ht="12.75" customHeight="1">
      <c r="A371" s="66"/>
      <c r="E371" s="90"/>
      <c r="G371" s="66"/>
      <c r="I371" s="57"/>
    </row>
    <row r="372" spans="1:9" ht="12.75" customHeight="1">
      <c r="A372" s="91" t="s">
        <v>48</v>
      </c>
      <c r="B372" s="75"/>
      <c r="E372" s="90"/>
      <c r="G372" s="66"/>
      <c r="I372" s="73"/>
    </row>
    <row r="373" spans="1:9" ht="12.75" customHeight="1">
      <c r="A373" s="66"/>
      <c r="B373" s="4" t="s">
        <v>48</v>
      </c>
      <c r="D373" s="15" t="str">
        <f>IF(AND(E373&gt;0,'[1]Instruct &amp; Input'!$Z$34="Y"),"*"," ")</f>
        <v> </v>
      </c>
      <c r="E373" s="90"/>
      <c r="G373" s="66"/>
      <c r="I373" s="57">
        <f>ROUND(G373*E373,0)</f>
        <v>0</v>
      </c>
    </row>
    <row r="374" spans="1:9" ht="12.75" customHeight="1">
      <c r="A374" s="79"/>
      <c r="B374" s="4" t="s">
        <v>102</v>
      </c>
      <c r="C374" s="4" t="s">
        <v>103</v>
      </c>
      <c r="D374" s="15" t="str">
        <f>IF(AND(E374&gt;0,'[1]Instruct &amp; Input'!$Z$34="Y"),"*"," ")</f>
        <v> </v>
      </c>
      <c r="E374" s="90"/>
      <c r="G374" s="66"/>
      <c r="I374" s="92">
        <f>ROUND(G374*E374,0)</f>
        <v>0</v>
      </c>
    </row>
    <row r="375" spans="1:9" ht="12.75" customHeight="1" thickBot="1">
      <c r="A375" s="93" t="s">
        <v>104</v>
      </c>
      <c r="B375" s="86"/>
      <c r="C375" s="86"/>
      <c r="D375" s="94"/>
      <c r="E375" s="95"/>
      <c r="F375" s="86"/>
      <c r="G375" s="89"/>
      <c r="H375" s="86"/>
      <c r="I375" s="58">
        <f>SUM(I373:I374)</f>
        <v>0</v>
      </c>
    </row>
    <row r="376" spans="1:9" ht="12.75" customHeight="1">
      <c r="A376" s="45"/>
      <c r="E376" s="90"/>
      <c r="G376" s="66"/>
      <c r="I376" s="73"/>
    </row>
    <row r="377" spans="1:9" ht="12.75" customHeight="1">
      <c r="A377" s="96" t="s">
        <v>49</v>
      </c>
      <c r="B377" s="75"/>
      <c r="E377" s="90"/>
      <c r="G377" s="66"/>
      <c r="I377" s="73"/>
    </row>
    <row r="378" spans="1:9" ht="12.75" customHeight="1">
      <c r="A378" s="66"/>
      <c r="B378" s="4" t="s">
        <v>118</v>
      </c>
      <c r="E378" s="90"/>
      <c r="G378" s="66"/>
      <c r="I378" s="57">
        <f>ROUND(G378*E378,0)</f>
        <v>0</v>
      </c>
    </row>
    <row r="379" spans="1:9" ht="12.75" customHeight="1">
      <c r="A379" s="66"/>
      <c r="B379" s="4" t="s">
        <v>119</v>
      </c>
      <c r="E379" s="90"/>
      <c r="G379" s="66"/>
      <c r="I379" s="92">
        <f>ROUND(G379*E379,0)</f>
        <v>0</v>
      </c>
    </row>
    <row r="380" spans="1:9" ht="12.75" customHeight="1" thickBot="1">
      <c r="A380" s="89" t="s">
        <v>106</v>
      </c>
      <c r="B380" s="86"/>
      <c r="C380" s="86"/>
      <c r="D380" s="94"/>
      <c r="E380" s="95"/>
      <c r="F380" s="86"/>
      <c r="G380" s="89"/>
      <c r="H380" s="86"/>
      <c r="I380" s="97">
        <f>SUM(I378:I379)</f>
        <v>0</v>
      </c>
    </row>
    <row r="381" spans="1:9" ht="12.75" customHeight="1">
      <c r="A381" s="55"/>
      <c r="E381" s="98"/>
      <c r="G381" s="55"/>
      <c r="I381" s="73"/>
    </row>
    <row r="382" spans="1:9" ht="12.75" customHeight="1" thickBot="1">
      <c r="A382" s="4" t="s">
        <v>107</v>
      </c>
      <c r="E382" s="98"/>
      <c r="G382" s="55"/>
      <c r="I382" s="58">
        <f>SUM(I361:I380)/2</f>
        <v>0</v>
      </c>
    </row>
    <row r="383" spans="5:7" ht="12.75" customHeight="1">
      <c r="E383" s="98"/>
      <c r="G383" s="55"/>
    </row>
    <row r="384" ht="12.75" customHeight="1">
      <c r="G384" s="55"/>
    </row>
    <row r="385" spans="1:7" ht="12.75" customHeight="1">
      <c r="A385" s="101"/>
      <c r="B385" s="32" t="s">
        <v>108</v>
      </c>
      <c r="C385" s="4" t="s">
        <v>109</v>
      </c>
      <c r="G385" s="55"/>
    </row>
    <row r="386" spans="1:7" ht="12.75" customHeight="1">
      <c r="A386" s="55"/>
      <c r="C386" s="4" t="s">
        <v>110</v>
      </c>
      <c r="G386" s="55"/>
    </row>
    <row r="387" spans="1:7" ht="12.75" customHeight="1">
      <c r="A387" s="55"/>
      <c r="C387" s="4" t="s">
        <v>111</v>
      </c>
      <c r="G387" s="55"/>
    </row>
    <row r="388" spans="1:7" ht="12.75" customHeight="1">
      <c r="A388" s="55"/>
      <c r="C388" s="4" t="s">
        <v>112</v>
      </c>
      <c r="G388" s="55"/>
    </row>
    <row r="389" spans="1:7" ht="12.75" customHeight="1">
      <c r="A389" s="55"/>
      <c r="G389" s="55"/>
    </row>
    <row r="390" spans="1:9" ht="12.75" customHeight="1">
      <c r="A390" s="32"/>
      <c r="I390" s="32" t="s">
        <v>75</v>
      </c>
    </row>
    <row r="391" spans="1:9" ht="12.75" customHeight="1">
      <c r="A391" s="32"/>
      <c r="I391" s="32" t="str">
        <f>IF('[1]Scratch Pad'!C12="N","Page "&amp;'[1]Scratch Pad'!D12&amp;" of 6","MISCELLANEOUS")</f>
        <v>MISCELLANEOUS</v>
      </c>
    </row>
    <row r="392" spans="1:9" ht="12.75" customHeight="1">
      <c r="A392" s="2" t="s">
        <v>0</v>
      </c>
      <c r="B392" s="2"/>
      <c r="C392" s="2"/>
      <c r="D392" s="2"/>
      <c r="E392" s="2"/>
      <c r="F392" s="2"/>
      <c r="G392" s="2"/>
      <c r="H392" s="2"/>
      <c r="I392" s="2"/>
    </row>
    <row r="393" spans="1:9" ht="12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 customHeight="1">
      <c r="A394" s="33" t="s">
        <v>1</v>
      </c>
      <c r="B394" s="2"/>
      <c r="C394" s="2"/>
      <c r="D394" s="2"/>
      <c r="E394" s="2"/>
      <c r="F394" s="2"/>
      <c r="G394" s="2"/>
      <c r="H394" s="2"/>
      <c r="I394" s="2"/>
    </row>
    <row r="395" spans="1:9" ht="12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 customHeight="1">
      <c r="A396" s="2" t="s">
        <v>76</v>
      </c>
      <c r="B396" s="2"/>
      <c r="C396" s="2"/>
      <c r="D396" s="2"/>
      <c r="E396" s="2"/>
      <c r="F396" s="2"/>
      <c r="G396" s="2"/>
      <c r="H396" s="2"/>
      <c r="I396" s="2"/>
    </row>
    <row r="398" spans="3:6" ht="12.75" customHeight="1">
      <c r="C398" s="32" t="s">
        <v>42</v>
      </c>
      <c r="D398" s="12"/>
      <c r="E398" s="62" t="str">
        <f>$E$9</f>
        <v>April 29, 2009</v>
      </c>
      <c r="F398" s="4" t="s">
        <v>43</v>
      </c>
    </row>
    <row r="399" spans="3:5" ht="12.75" customHeight="1">
      <c r="C399" s="32" t="s">
        <v>44</v>
      </c>
      <c r="D399" s="12"/>
      <c r="E399" s="62" t="str">
        <f>E$10</f>
        <v>April 30, 2010</v>
      </c>
    </row>
    <row r="401" spans="1:9" ht="12.75" customHeight="1">
      <c r="A401" s="46"/>
      <c r="C401" s="32" t="s">
        <v>77</v>
      </c>
      <c r="D401" s="12"/>
      <c r="E401" s="63" t="s">
        <v>126</v>
      </c>
      <c r="F401" s="8"/>
      <c r="G401" s="8"/>
      <c r="H401" s="8"/>
      <c r="I401" s="8"/>
    </row>
    <row r="402" spans="1:9" ht="12.75" customHeight="1">
      <c r="A402" s="64"/>
      <c r="C402" s="32" t="s">
        <v>78</v>
      </c>
      <c r="D402" s="12"/>
      <c r="E402" s="63" t="s">
        <v>79</v>
      </c>
      <c r="F402" s="8"/>
      <c r="G402" s="8"/>
      <c r="H402" s="8"/>
      <c r="I402" s="8"/>
    </row>
    <row r="403" spans="3:9" ht="12.75" customHeight="1">
      <c r="C403" s="32" t="s">
        <v>80</v>
      </c>
      <c r="D403" s="12"/>
      <c r="E403" s="62">
        <f>'[1]Demand'!Z2919</f>
        <v>0</v>
      </c>
      <c r="H403" s="32" t="s">
        <v>81</v>
      </c>
      <c r="I403" s="112" t="str">
        <f>IF(ISBLANK('[1]Demand'!AA2918)," ",'[1]Demand'!AA2918)</f>
        <v> </v>
      </c>
    </row>
    <row r="405" spans="1:9" ht="12.75" customHeight="1">
      <c r="A405" s="55"/>
      <c r="C405" s="32" t="s">
        <v>82</v>
      </c>
      <c r="D405" s="12" t="s">
        <v>83</v>
      </c>
      <c r="E405" s="4" t="s">
        <v>84</v>
      </c>
      <c r="F405" s="12"/>
      <c r="G405" s="4" t="s">
        <v>85</v>
      </c>
      <c r="H405" s="12"/>
      <c r="I405" s="4" t="s">
        <v>86</v>
      </c>
    </row>
    <row r="406" spans="1:9" ht="12.75" customHeight="1">
      <c r="A406" s="55"/>
      <c r="C406" s="32" t="s">
        <v>87</v>
      </c>
      <c r="D406" s="12"/>
      <c r="E406" s="4" t="s">
        <v>88</v>
      </c>
      <c r="F406" s="12" t="s">
        <v>83</v>
      </c>
      <c r="G406" s="4" t="s">
        <v>89</v>
      </c>
      <c r="H406" s="12"/>
      <c r="I406" s="4" t="s">
        <v>90</v>
      </c>
    </row>
    <row r="407" spans="1:8" ht="12.75" customHeight="1">
      <c r="A407" s="55"/>
      <c r="C407" s="32" t="s">
        <v>91</v>
      </c>
      <c r="D407" s="12" t="s">
        <v>83</v>
      </c>
      <c r="E407" s="4" t="s">
        <v>92</v>
      </c>
      <c r="F407" s="12"/>
      <c r="G407" s="4" t="s">
        <v>93</v>
      </c>
      <c r="H407" s="15"/>
    </row>
    <row r="408" ht="12.75" customHeight="1">
      <c r="A408" s="55"/>
    </row>
    <row r="409" spans="1:9" ht="12.75" customHeight="1">
      <c r="A409" s="59"/>
      <c r="B409" s="9"/>
      <c r="C409" s="9"/>
      <c r="D409" s="12"/>
      <c r="E409" s="9"/>
      <c r="F409" s="9"/>
      <c r="G409" s="9"/>
      <c r="H409" s="9"/>
      <c r="I409" s="9"/>
    </row>
    <row r="410" spans="1:9" ht="12.75" customHeight="1">
      <c r="A410" s="66"/>
      <c r="B410" s="7"/>
      <c r="C410" s="7"/>
      <c r="D410" s="67"/>
      <c r="E410" s="68" t="s">
        <v>94</v>
      </c>
      <c r="F410" s="7"/>
      <c r="G410" s="68" t="s">
        <v>95</v>
      </c>
      <c r="H410" s="7"/>
      <c r="I410" s="69" t="s">
        <v>96</v>
      </c>
    </row>
    <row r="411" spans="1:9" ht="12.75" customHeight="1">
      <c r="A411" s="70"/>
      <c r="B411" s="9" t="s">
        <v>97</v>
      </c>
      <c r="C411" s="9"/>
      <c r="D411" s="12"/>
      <c r="E411" s="71" t="s">
        <v>98</v>
      </c>
      <c r="F411" s="9"/>
      <c r="G411" s="71" t="s">
        <v>99</v>
      </c>
      <c r="H411" s="9"/>
      <c r="I411" s="72" t="s">
        <v>100</v>
      </c>
    </row>
    <row r="412" spans="1:9" ht="12.75" customHeight="1">
      <c r="A412" s="66"/>
      <c r="E412" s="45"/>
      <c r="G412" s="45"/>
      <c r="I412" s="73"/>
    </row>
    <row r="413" spans="1:9" ht="12.75" customHeight="1">
      <c r="A413" s="74" t="s">
        <v>47</v>
      </c>
      <c r="B413" s="75"/>
      <c r="E413" s="45"/>
      <c r="G413" s="45"/>
      <c r="I413" s="73"/>
    </row>
    <row r="414" spans="1:9" ht="12.75" customHeight="1">
      <c r="A414" s="66"/>
      <c r="B414" s="4" t="str">
        <f>IF(AND(ISBLANK('[1]Demand'!Y2919),'[1]Demand'!T2919&gt;0),'[1]Demand'!T2919," ")</f>
        <v> </v>
      </c>
      <c r="C414" s="15" t="str">
        <f>IF(AND(ISBLANK('[1]Demand'!Y2919),'[1]Demand'!S2919&gt;0),'[1]Demand'!S2919," ")</f>
        <v> </v>
      </c>
      <c r="D414" s="15" t="str">
        <f>IF(AND(E414&gt;0,'[1]Demand'!AB2918="Y"),"*"," ")</f>
        <v> </v>
      </c>
      <c r="E414" s="76" t="str">
        <f>IF(AND(ISBLANK('[1]Demand'!Y2919),'[1]Demand'!U2919&gt;0),'[1]Demand'!U2919," ")</f>
        <v> </v>
      </c>
      <c r="F414" s="46"/>
      <c r="G414" s="77" t="str">
        <f>IF(AND(ISBLANK('[1]Demand'!Y2919),'[1]Demand'!V2919&gt;0),'[1]Demand'!V2919," ")</f>
        <v> </v>
      </c>
      <c r="H414" s="46"/>
      <c r="I414" s="78" t="str">
        <f>IF(AND(ISBLANK('[1]Demand'!Y2919),'[1]Demand'!W2919&gt;0),'[1]Demand'!W2919," ")</f>
        <v> </v>
      </c>
    </row>
    <row r="415" spans="1:9" ht="12.75" customHeight="1">
      <c r="A415" s="79"/>
      <c r="B415" s="4" t="str">
        <f>IF(AND(ISBLANK('[1]Demand'!Y2920),'[1]Demand'!T2920&gt;0),'[1]Demand'!T2920," ")</f>
        <v> </v>
      </c>
      <c r="C415" s="15" t="str">
        <f>IF(AND(ISBLANK('[1]Demand'!Y2920),'[1]Demand'!S2920&gt;0),'[1]Demand'!S2920," ")</f>
        <v> </v>
      </c>
      <c r="D415" s="15" t="str">
        <f>IF(AND(E415&gt;0,'[1]Demand'!AB2919="Y"),"*"," ")</f>
        <v> </v>
      </c>
      <c r="E415" s="76" t="str">
        <f>IF(AND(ISBLANK('[1]Demand'!Y2920),'[1]Demand'!U2920&gt;0),'[1]Demand'!U2920," ")</f>
        <v> </v>
      </c>
      <c r="F415" s="46"/>
      <c r="G415" s="77" t="str">
        <f>IF(AND(ISBLANK('[1]Demand'!Y2920),'[1]Demand'!V2920&gt;0),'[1]Demand'!V2920," ")</f>
        <v> </v>
      </c>
      <c r="H415" s="46"/>
      <c r="I415" s="78" t="str">
        <f>IF(AND(ISBLANK('[1]Demand'!Y2920),'[1]Demand'!W2920&gt;0),'[1]Demand'!W2920," ")</f>
        <v> </v>
      </c>
    </row>
    <row r="416" spans="1:9" ht="12.75" customHeight="1">
      <c r="A416" s="66"/>
      <c r="B416" s="4" t="str">
        <f>IF(AND(ISBLANK('[1]Demand'!Y2921),'[1]Demand'!T2921&gt;0),'[1]Demand'!T2921," ")</f>
        <v> </v>
      </c>
      <c r="C416" s="15" t="str">
        <f>IF(AND(ISBLANK('[1]Demand'!Y2921),'[1]Demand'!S2921&gt;0),'[1]Demand'!S2921," ")</f>
        <v> </v>
      </c>
      <c r="D416" s="15" t="str">
        <f>IF(AND(E416&gt;0,'[1]Demand'!AB2920="Y"),"*"," ")</f>
        <v> </v>
      </c>
      <c r="E416" s="76" t="str">
        <f>IF(AND(ISBLANK('[1]Demand'!Y2921),'[1]Demand'!U2921&gt;0),'[1]Demand'!U2921," ")</f>
        <v> </v>
      </c>
      <c r="F416" s="46"/>
      <c r="G416" s="77" t="str">
        <f>IF(AND(ISBLANK('[1]Demand'!Y2921),'[1]Demand'!V2921&gt;0),'[1]Demand'!V2921," ")</f>
        <v> </v>
      </c>
      <c r="H416" s="46"/>
      <c r="I416" s="78" t="str">
        <f>IF(AND(ISBLANK('[1]Demand'!Y2921),'[1]Demand'!W2921&gt;0),'[1]Demand'!W2921," ")</f>
        <v> </v>
      </c>
    </row>
    <row r="417" spans="1:9" ht="12.75" customHeight="1">
      <c r="A417" s="66"/>
      <c r="B417" s="4" t="str">
        <f>IF(AND(ISBLANK('[1]Demand'!Y2922),'[1]Demand'!T2922&gt;0),'[1]Demand'!T2922," ")</f>
        <v> </v>
      </c>
      <c r="C417" s="15" t="str">
        <f>IF(AND(ISBLANK('[1]Demand'!Y2922),'[1]Demand'!S2922&gt;0),'[1]Demand'!S2922," ")</f>
        <v> </v>
      </c>
      <c r="D417" s="15" t="str">
        <f>IF(AND(E417&gt;0,'[1]Demand'!AB2921="Y"),"*"," ")</f>
        <v> </v>
      </c>
      <c r="E417" s="76" t="str">
        <f>IF(AND(ISBLANK('[1]Demand'!Y2922),'[1]Demand'!U2922&gt;0),'[1]Demand'!U2922," ")</f>
        <v> </v>
      </c>
      <c r="F417" s="46"/>
      <c r="G417" s="77" t="str">
        <f>IF(AND(ISBLANK('[1]Demand'!Y2922),'[1]Demand'!V2922&gt;0),'[1]Demand'!V2922," ")</f>
        <v> </v>
      </c>
      <c r="H417" s="46"/>
      <c r="I417" s="78" t="str">
        <f>IF(AND(ISBLANK('[1]Demand'!Y2922),'[1]Demand'!W2922&gt;0),'[1]Demand'!W2922," ")</f>
        <v> </v>
      </c>
    </row>
    <row r="418" spans="1:9" ht="12.75" customHeight="1">
      <c r="A418" s="66"/>
      <c r="B418" s="4" t="str">
        <f>IF(AND(ISBLANK('[1]Demand'!Y2923),'[1]Demand'!T2923&gt;0),'[1]Demand'!T2923," ")</f>
        <v> </v>
      </c>
      <c r="C418" s="15" t="str">
        <f>IF(AND(ISBLANK('[1]Demand'!Y2923),'[1]Demand'!S2923&gt;0),'[1]Demand'!S2923," ")</f>
        <v> </v>
      </c>
      <c r="D418" s="15" t="str">
        <f>IF(AND(E418&gt;0,'[1]Demand'!AB2922="Y"),"*"," ")</f>
        <v> </v>
      </c>
      <c r="E418" s="76" t="str">
        <f>IF(AND(ISBLANK('[1]Demand'!Y2923),'[1]Demand'!U2923&gt;0),'[1]Demand'!U2923," ")</f>
        <v> </v>
      </c>
      <c r="F418" s="46"/>
      <c r="G418" s="77" t="str">
        <f>IF(AND(ISBLANK('[1]Demand'!Y2923),'[1]Demand'!V2923&gt;0),'[1]Demand'!V2923," ")</f>
        <v> </v>
      </c>
      <c r="H418" s="46"/>
      <c r="I418" s="78" t="str">
        <f>IF(AND(ISBLANK('[1]Demand'!Y2923),'[1]Demand'!W2923&gt;0),'[1]Demand'!W2923," ")</f>
        <v> </v>
      </c>
    </row>
    <row r="419" spans="1:9" ht="12.75" customHeight="1">
      <c r="A419" s="66"/>
      <c r="B419" s="4" t="str">
        <f>IF(AND(ISBLANK('[1]Demand'!Y2924),'[1]Demand'!T2924&gt;0),'[1]Demand'!T2924," ")</f>
        <v> </v>
      </c>
      <c r="C419" s="15" t="str">
        <f>IF(AND(ISBLANK('[1]Demand'!Y2924),'[1]Demand'!S2924&gt;0),'[1]Demand'!S2924," ")</f>
        <v> </v>
      </c>
      <c r="D419" s="15" t="str">
        <f>IF(AND(E419&gt;0,'[1]Demand'!AB2923="Y"),"*"," ")</f>
        <v> </v>
      </c>
      <c r="E419" s="76" t="str">
        <f>IF(AND(ISBLANK('[1]Demand'!Y2924),'[1]Demand'!U2924&gt;0),'[1]Demand'!U2924," ")</f>
        <v> </v>
      </c>
      <c r="F419" s="46"/>
      <c r="G419" s="77" t="str">
        <f>IF(AND(ISBLANK('[1]Demand'!Y2924),'[1]Demand'!V2924&gt;0),'[1]Demand'!V2924," ")</f>
        <v> </v>
      </c>
      <c r="H419" s="46"/>
      <c r="I419" s="78" t="str">
        <f>IF(AND(ISBLANK('[1]Demand'!Y2924),'[1]Demand'!W2924&gt;0),'[1]Demand'!W2924," ")</f>
        <v> </v>
      </c>
    </row>
    <row r="420" spans="1:9" ht="12.75" customHeight="1">
      <c r="A420" s="66"/>
      <c r="B420" s="4" t="str">
        <f>IF(AND(ISBLANK('[1]Demand'!Y2925),'[1]Demand'!T2925&gt;0),'[1]Demand'!T2925," ")</f>
        <v> </v>
      </c>
      <c r="C420" s="15" t="str">
        <f>IF(AND(ISBLANK('[1]Demand'!Y2925),'[1]Demand'!S2925&gt;0),'[1]Demand'!S2925," ")</f>
        <v> </v>
      </c>
      <c r="D420" s="15" t="str">
        <f>IF(AND(E420&gt;0,'[1]Demand'!AB2924="Y"),"*"," ")</f>
        <v> </v>
      </c>
      <c r="E420" s="76" t="str">
        <f>IF(AND(ISBLANK('[1]Demand'!Y2925),'[1]Demand'!U2925&gt;0),'[1]Demand'!U2925," ")</f>
        <v> </v>
      </c>
      <c r="F420" s="46"/>
      <c r="G420" s="77" t="str">
        <f>IF(AND(ISBLANK('[1]Demand'!Y2925),'[1]Demand'!V2925&gt;0),'[1]Demand'!V2925," ")</f>
        <v> </v>
      </c>
      <c r="H420" s="46"/>
      <c r="I420" s="78" t="str">
        <f>IF(AND(ISBLANK('[1]Demand'!Y2925),'[1]Demand'!W2925&gt;0),'[1]Demand'!W2925," ")</f>
        <v> </v>
      </c>
    </row>
    <row r="421" spans="1:9" ht="12.75" customHeight="1">
      <c r="A421" s="66"/>
      <c r="B421" s="4" t="str">
        <f>IF(AND(ISBLANK('[1]Demand'!Y2926),'[1]Demand'!T2926&gt;0),'[1]Demand'!T2926," ")</f>
        <v> </v>
      </c>
      <c r="C421" s="15" t="str">
        <f>IF(AND(ISBLANK('[1]Demand'!Y2926),'[1]Demand'!S2926&gt;0),'[1]Demand'!S2926," ")</f>
        <v> </v>
      </c>
      <c r="D421" s="15" t="str">
        <f>IF(AND(E421&gt;0,'[1]Demand'!AB2925="Y"),"*"," ")</f>
        <v> </v>
      </c>
      <c r="E421" s="76" t="str">
        <f>IF(AND(ISBLANK('[1]Demand'!Y2926),'[1]Demand'!U2926&gt;0),'[1]Demand'!U2926," ")</f>
        <v> </v>
      </c>
      <c r="F421" s="46"/>
      <c r="G421" s="77" t="str">
        <f>IF(AND(ISBLANK('[1]Demand'!Y2926),'[1]Demand'!V2926&gt;0),'[1]Demand'!V2926," ")</f>
        <v> </v>
      </c>
      <c r="H421" s="46"/>
      <c r="I421" s="78" t="str">
        <f>IF(AND(ISBLANK('[1]Demand'!Y2926),'[1]Demand'!W2926&gt;0),'[1]Demand'!W2926," ")</f>
        <v> </v>
      </c>
    </row>
    <row r="422" spans="1:9" ht="12.75" customHeight="1">
      <c r="A422" s="66"/>
      <c r="B422" s="4" t="str">
        <f>IF(AND(ISBLANK('[1]Demand'!Y2927),'[1]Demand'!T2927&gt;0),'[1]Demand'!T2927," ")</f>
        <v> </v>
      </c>
      <c r="C422" s="15" t="str">
        <f>IF(AND(ISBLANK('[1]Demand'!Y2927),'[1]Demand'!S2927&gt;0),'[1]Demand'!S2927," ")</f>
        <v> </v>
      </c>
      <c r="D422" s="15" t="str">
        <f>IF(AND(E422&gt;0,'[1]Demand'!AB2926="Y"),"*"," ")</f>
        <v> </v>
      </c>
      <c r="E422" s="76" t="str">
        <f>IF(AND(ISBLANK('[1]Demand'!Y2927),'[1]Demand'!U2927&gt;0),'[1]Demand'!U2927," ")</f>
        <v> </v>
      </c>
      <c r="F422" s="46"/>
      <c r="G422" s="77" t="str">
        <f>IF(AND(ISBLANK('[1]Demand'!Y2927),'[1]Demand'!V2927&gt;0),'[1]Demand'!V2927," ")</f>
        <v> </v>
      </c>
      <c r="H422" s="46"/>
      <c r="I422" s="78" t="str">
        <f>IF(AND(ISBLANK('[1]Demand'!Y2927),'[1]Demand'!W2927&gt;0),'[1]Demand'!W2927," ")</f>
        <v> </v>
      </c>
    </row>
    <row r="423" spans="1:9" ht="12.75" customHeight="1" thickBot="1">
      <c r="A423" s="89" t="s">
        <v>117</v>
      </c>
      <c r="B423" s="86"/>
      <c r="C423" s="86"/>
      <c r="D423" s="94"/>
      <c r="E423" s="95"/>
      <c r="F423" s="86"/>
      <c r="G423" s="89"/>
      <c r="H423" s="86"/>
      <c r="I423" s="58">
        <f>SUM(I414:I422)</f>
        <v>0</v>
      </c>
    </row>
    <row r="424" spans="1:9" ht="12.75" customHeight="1">
      <c r="A424" s="66"/>
      <c r="E424" s="90"/>
      <c r="G424" s="66"/>
      <c r="I424" s="57"/>
    </row>
    <row r="425" spans="1:9" ht="12.75" customHeight="1">
      <c r="A425" s="91" t="s">
        <v>48</v>
      </c>
      <c r="B425" s="75"/>
      <c r="E425" s="90"/>
      <c r="G425" s="66"/>
      <c r="I425" s="73"/>
    </row>
    <row r="426" spans="1:9" ht="12.75" customHeight="1">
      <c r="A426" s="66"/>
      <c r="B426" s="4" t="s">
        <v>48</v>
      </c>
      <c r="D426" s="15" t="str">
        <f>IF(AND(E426&gt;0,'[1]Instruct &amp; Input'!$Z$34="Y"),"*"," ")</f>
        <v> </v>
      </c>
      <c r="E426" s="90"/>
      <c r="G426" s="66"/>
      <c r="I426" s="57">
        <f>ROUND(G426*E426,0)</f>
        <v>0</v>
      </c>
    </row>
    <row r="427" spans="1:9" ht="12.75" customHeight="1">
      <c r="A427" s="79"/>
      <c r="B427" s="4" t="s">
        <v>102</v>
      </c>
      <c r="C427" s="4" t="s">
        <v>103</v>
      </c>
      <c r="D427" s="15" t="str">
        <f>IF(AND(E427&gt;0,'[1]Instruct &amp; Input'!$Z$34="Y"),"*"," ")</f>
        <v> </v>
      </c>
      <c r="E427" s="90"/>
      <c r="G427" s="66"/>
      <c r="I427" s="92">
        <f>ROUND(G427*E427,0)</f>
        <v>0</v>
      </c>
    </row>
    <row r="428" spans="1:9" ht="12.75" customHeight="1" thickBot="1">
      <c r="A428" s="93" t="s">
        <v>104</v>
      </c>
      <c r="B428" s="86"/>
      <c r="C428" s="86"/>
      <c r="D428" s="94"/>
      <c r="E428" s="95"/>
      <c r="F428" s="86"/>
      <c r="G428" s="89"/>
      <c r="H428" s="86"/>
      <c r="I428" s="58">
        <f>SUM(I426:I427)</f>
        <v>0</v>
      </c>
    </row>
    <row r="429" spans="1:9" ht="12.75" customHeight="1">
      <c r="A429" s="45"/>
      <c r="E429" s="90"/>
      <c r="G429" s="66"/>
      <c r="I429" s="73"/>
    </row>
    <row r="430" spans="1:9" ht="12.75" customHeight="1">
      <c r="A430" s="96" t="s">
        <v>49</v>
      </c>
      <c r="B430" s="75"/>
      <c r="E430" s="90"/>
      <c r="G430" s="66"/>
      <c r="I430" s="73"/>
    </row>
    <row r="431" spans="1:9" ht="12.75" customHeight="1">
      <c r="A431" s="66"/>
      <c r="B431" s="4" t="s">
        <v>118</v>
      </c>
      <c r="E431" s="90"/>
      <c r="G431" s="66"/>
      <c r="I431" s="57">
        <f>ROUND(G431*E431,0)</f>
        <v>0</v>
      </c>
    </row>
    <row r="432" spans="1:9" ht="12.75" customHeight="1">
      <c r="A432" s="66"/>
      <c r="B432" s="4" t="s">
        <v>119</v>
      </c>
      <c r="E432" s="90"/>
      <c r="G432" s="66"/>
      <c r="I432" s="92">
        <f>ROUND(G432*E432,0)</f>
        <v>0</v>
      </c>
    </row>
    <row r="433" spans="1:9" ht="12.75" customHeight="1" thickBot="1">
      <c r="A433" s="89" t="s">
        <v>106</v>
      </c>
      <c r="B433" s="86"/>
      <c r="C433" s="86"/>
      <c r="D433" s="94"/>
      <c r="E433" s="95"/>
      <c r="F433" s="86"/>
      <c r="G433" s="89"/>
      <c r="H433" s="86"/>
      <c r="I433" s="97">
        <f>SUM(I431:I432)</f>
        <v>0</v>
      </c>
    </row>
    <row r="434" spans="1:9" ht="12.75" customHeight="1">
      <c r="A434" s="55"/>
      <c r="E434" s="98"/>
      <c r="G434" s="55"/>
      <c r="I434" s="73"/>
    </row>
    <row r="435" spans="1:9" ht="12.75" customHeight="1" thickBot="1">
      <c r="A435" s="4" t="s">
        <v>107</v>
      </c>
      <c r="E435" s="98"/>
      <c r="G435" s="55"/>
      <c r="I435" s="58">
        <f>SUM(I414:I433)/2</f>
        <v>0</v>
      </c>
    </row>
    <row r="436" spans="5:7" ht="12.75" customHeight="1">
      <c r="E436" s="98"/>
      <c r="G436" s="55"/>
    </row>
    <row r="437" ht="12.75" customHeight="1">
      <c r="G437" s="55"/>
    </row>
    <row r="438" spans="1:7" ht="12.75" customHeight="1">
      <c r="A438" s="101"/>
      <c r="B438" s="32" t="s">
        <v>108</v>
      </c>
      <c r="C438" s="4" t="s">
        <v>109</v>
      </c>
      <c r="G438" s="55"/>
    </row>
    <row r="439" spans="1:7" ht="12.75" customHeight="1">
      <c r="A439" s="55"/>
      <c r="C439" s="4" t="s">
        <v>110</v>
      </c>
      <c r="G439" s="55"/>
    </row>
    <row r="440" spans="1:7" ht="12.75" customHeight="1">
      <c r="A440" s="55"/>
      <c r="C440" s="4" t="s">
        <v>111</v>
      </c>
      <c r="G440" s="55"/>
    </row>
    <row r="441" spans="3:7" ht="12.75" customHeight="1">
      <c r="C441" s="4" t="s">
        <v>112</v>
      </c>
      <c r="G441" s="55"/>
    </row>
    <row r="442" ht="12.75" customHeight="1">
      <c r="G442" s="55"/>
    </row>
    <row r="443" spans="1:9" ht="12.75" customHeight="1">
      <c r="A443" s="32"/>
      <c r="I443" s="32" t="s">
        <v>75</v>
      </c>
    </row>
    <row r="444" spans="1:9" ht="12.75" customHeight="1">
      <c r="A444" s="32"/>
      <c r="I444" s="32" t="str">
        <f>IF('[1]Scratch Pad'!C13="N","Page "&amp;'[1]Scratch Pad'!D13&amp;" of 6","MISCELLANEOUS")</f>
        <v>MISCELLANEOUS</v>
      </c>
    </row>
    <row r="445" spans="1:9" ht="12.75" customHeight="1">
      <c r="A445" s="2" t="s">
        <v>0</v>
      </c>
      <c r="B445" s="2"/>
      <c r="C445" s="2"/>
      <c r="D445" s="2"/>
      <c r="E445" s="2"/>
      <c r="F445" s="2"/>
      <c r="G445" s="2"/>
      <c r="H445" s="2"/>
      <c r="I445" s="2"/>
    </row>
    <row r="446" spans="1:9" ht="12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 customHeight="1">
      <c r="A447" s="33" t="s">
        <v>1</v>
      </c>
      <c r="B447" s="2"/>
      <c r="C447" s="2"/>
      <c r="D447" s="2"/>
      <c r="E447" s="2"/>
      <c r="F447" s="2"/>
      <c r="G447" s="2"/>
      <c r="H447" s="2"/>
      <c r="I447" s="2"/>
    </row>
    <row r="448" spans="1:9" ht="12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 customHeight="1">
      <c r="A449" s="2" t="s">
        <v>76</v>
      </c>
      <c r="B449" s="2"/>
      <c r="C449" s="2"/>
      <c r="D449" s="2"/>
      <c r="E449" s="2"/>
      <c r="F449" s="2"/>
      <c r="G449" s="2"/>
      <c r="H449" s="2"/>
      <c r="I449" s="2"/>
    </row>
    <row r="451" spans="3:6" ht="12.75" customHeight="1">
      <c r="C451" s="32" t="s">
        <v>42</v>
      </c>
      <c r="D451" s="12"/>
      <c r="E451" s="62" t="str">
        <f>$E$9</f>
        <v>April 29, 2009</v>
      </c>
      <c r="F451" s="4" t="s">
        <v>43</v>
      </c>
    </row>
    <row r="452" spans="3:5" ht="12.75" customHeight="1">
      <c r="C452" s="32" t="s">
        <v>44</v>
      </c>
      <c r="D452" s="12"/>
      <c r="E452" s="62" t="str">
        <f>E$10</f>
        <v>April 30, 2010</v>
      </c>
    </row>
    <row r="454" spans="1:9" ht="12.75" customHeight="1">
      <c r="A454" s="46"/>
      <c r="C454" s="32" t="s">
        <v>77</v>
      </c>
      <c r="D454" s="12"/>
      <c r="E454" s="63" t="str">
        <f>'[1]Demand'!R2928</f>
        <v>Reserved For Future Use</v>
      </c>
      <c r="F454" s="8"/>
      <c r="G454" s="8"/>
      <c r="H454" s="8"/>
      <c r="I454" s="8"/>
    </row>
    <row r="455" spans="1:9" ht="12.75" customHeight="1">
      <c r="A455" s="64"/>
      <c r="C455" s="32" t="s">
        <v>78</v>
      </c>
      <c r="D455" s="12"/>
      <c r="E455" s="63" t="s">
        <v>79</v>
      </c>
      <c r="F455" s="8"/>
      <c r="G455" s="8"/>
      <c r="H455" s="8"/>
      <c r="I455" s="8"/>
    </row>
    <row r="456" spans="3:9" ht="12.75" customHeight="1">
      <c r="C456" s="32" t="s">
        <v>80</v>
      </c>
      <c r="D456" s="12"/>
      <c r="E456" s="62">
        <f>'[1]Demand'!Z2928</f>
        <v>0</v>
      </c>
      <c r="H456" s="32" t="s">
        <v>81</v>
      </c>
      <c r="I456" s="112" t="str">
        <f>IF(ISBLANK('[1]Demand'!AA2927)," ",'[1]Demand'!AA2927)</f>
        <v> </v>
      </c>
    </row>
    <row r="458" spans="1:9" ht="12.75" customHeight="1">
      <c r="A458" s="55"/>
      <c r="C458" s="32" t="s">
        <v>82</v>
      </c>
      <c r="D458" s="12" t="s">
        <v>83</v>
      </c>
      <c r="E458" s="4" t="s">
        <v>84</v>
      </c>
      <c r="F458" s="12"/>
      <c r="G458" s="4" t="s">
        <v>85</v>
      </c>
      <c r="H458" s="12"/>
      <c r="I458" s="4" t="s">
        <v>86</v>
      </c>
    </row>
    <row r="459" spans="1:9" ht="12.75" customHeight="1">
      <c r="A459" s="55"/>
      <c r="C459" s="32" t="s">
        <v>87</v>
      </c>
      <c r="D459" s="12"/>
      <c r="E459" s="4" t="s">
        <v>88</v>
      </c>
      <c r="F459" s="12" t="s">
        <v>83</v>
      </c>
      <c r="G459" s="4" t="s">
        <v>89</v>
      </c>
      <c r="H459" s="12"/>
      <c r="I459" s="4" t="s">
        <v>90</v>
      </c>
    </row>
    <row r="460" spans="1:8" ht="12.75" customHeight="1">
      <c r="A460" s="55"/>
      <c r="C460" s="32" t="s">
        <v>91</v>
      </c>
      <c r="D460" s="12" t="s">
        <v>83</v>
      </c>
      <c r="E460" s="4" t="s">
        <v>92</v>
      </c>
      <c r="F460" s="12"/>
      <c r="G460" s="4" t="s">
        <v>93</v>
      </c>
      <c r="H460" s="15"/>
    </row>
    <row r="461" ht="12.75" customHeight="1">
      <c r="A461" s="55"/>
    </row>
    <row r="462" spans="1:9" ht="12.75" customHeight="1">
      <c r="A462" s="59"/>
      <c r="B462" s="9"/>
      <c r="C462" s="9"/>
      <c r="D462" s="12"/>
      <c r="E462" s="9"/>
      <c r="F462" s="9"/>
      <c r="G462" s="9"/>
      <c r="H462" s="9"/>
      <c r="I462" s="9"/>
    </row>
    <row r="463" spans="1:9" ht="12.75" customHeight="1">
      <c r="A463" s="66"/>
      <c r="B463" s="7"/>
      <c r="C463" s="7"/>
      <c r="D463" s="67"/>
      <c r="E463" s="68" t="s">
        <v>94</v>
      </c>
      <c r="F463" s="7"/>
      <c r="G463" s="68" t="s">
        <v>95</v>
      </c>
      <c r="H463" s="7"/>
      <c r="I463" s="69" t="s">
        <v>96</v>
      </c>
    </row>
    <row r="464" spans="1:9" ht="12.75" customHeight="1">
      <c r="A464" s="70"/>
      <c r="B464" s="9" t="s">
        <v>97</v>
      </c>
      <c r="C464" s="9"/>
      <c r="D464" s="12"/>
      <c r="E464" s="71" t="s">
        <v>98</v>
      </c>
      <c r="F464" s="9"/>
      <c r="G464" s="71" t="s">
        <v>99</v>
      </c>
      <c r="H464" s="9"/>
      <c r="I464" s="72" t="s">
        <v>100</v>
      </c>
    </row>
    <row r="465" spans="1:9" ht="12.75" customHeight="1">
      <c r="A465" s="66"/>
      <c r="E465" s="45"/>
      <c r="G465" s="45"/>
      <c r="I465" s="73"/>
    </row>
    <row r="466" spans="1:9" ht="12.75" customHeight="1">
      <c r="A466" s="74" t="s">
        <v>47</v>
      </c>
      <c r="B466" s="75"/>
      <c r="E466" s="45"/>
      <c r="G466" s="45"/>
      <c r="I466" s="73"/>
    </row>
    <row r="467" spans="1:9" ht="12.75" customHeight="1">
      <c r="A467" s="66"/>
      <c r="B467" s="4" t="str">
        <f>IF(AND(ISBLANK('[1]Demand'!Y2928),'[1]Demand'!T2928&gt;0),'[1]Demand'!T2928," ")</f>
        <v> </v>
      </c>
      <c r="C467" s="15" t="str">
        <f>IF(AND(ISBLANK('[1]Demand'!Y2928),'[1]Demand'!S2928&gt;0),'[1]Demand'!S2928," ")</f>
        <v> </v>
      </c>
      <c r="D467" s="15" t="str">
        <f>IF(AND(E467&gt;0,'[1]Demand'!AB2927="Y"),"*"," ")</f>
        <v> </v>
      </c>
      <c r="E467" s="76" t="str">
        <f>IF(AND(ISBLANK('[1]Demand'!Y2928),'[1]Demand'!U2928&gt;0),'[1]Demand'!U2928," ")</f>
        <v> </v>
      </c>
      <c r="F467" s="46"/>
      <c r="G467" s="77" t="str">
        <f>IF(AND(ISBLANK('[1]Demand'!Y2928),'[1]Demand'!V2928&gt;0),'[1]Demand'!V2928," ")</f>
        <v> </v>
      </c>
      <c r="H467" s="46"/>
      <c r="I467" s="78" t="str">
        <f>IF(AND(ISBLANK('[1]Demand'!Y2928),'[1]Demand'!W2928&gt;0),'[1]Demand'!W2928," ")</f>
        <v> </v>
      </c>
    </row>
    <row r="468" spans="1:9" ht="12.75" customHeight="1">
      <c r="A468" s="79"/>
      <c r="B468" s="4" t="str">
        <f>IF(AND(ISBLANK('[1]Demand'!Y2929),'[1]Demand'!T2929&gt;0),'[1]Demand'!T2929," ")</f>
        <v> </v>
      </c>
      <c r="C468" s="15" t="str">
        <f>IF(AND(ISBLANK('[1]Demand'!Y2929),'[1]Demand'!S2929&gt;0),'[1]Demand'!S2929," ")</f>
        <v> </v>
      </c>
      <c r="D468" s="15" t="str">
        <f>IF(AND(E468&gt;0,'[1]Demand'!AB2928="Y"),"*"," ")</f>
        <v> </v>
      </c>
      <c r="E468" s="76" t="str">
        <f>IF(AND(ISBLANK('[1]Demand'!Y2929),'[1]Demand'!U2929&gt;0),'[1]Demand'!U2929," ")</f>
        <v> </v>
      </c>
      <c r="F468" s="46"/>
      <c r="G468" s="77" t="str">
        <f>IF(AND(ISBLANK('[1]Demand'!Y2929),'[1]Demand'!V2929&gt;0),'[1]Demand'!V2929," ")</f>
        <v> </v>
      </c>
      <c r="H468" s="46"/>
      <c r="I468" s="78" t="str">
        <f>IF(AND(ISBLANK('[1]Demand'!Y2929),'[1]Demand'!W2929&gt;0),'[1]Demand'!W2929," ")</f>
        <v> </v>
      </c>
    </row>
    <row r="469" spans="1:9" ht="12.75" customHeight="1">
      <c r="A469" s="66"/>
      <c r="B469" s="4" t="str">
        <f>IF(AND(ISBLANK('[1]Demand'!Y2930),'[1]Demand'!T2930&gt;0),'[1]Demand'!T2930," ")</f>
        <v> </v>
      </c>
      <c r="C469" s="15" t="str">
        <f>IF(AND(ISBLANK('[1]Demand'!Y2930),'[1]Demand'!S2930&gt;0),'[1]Demand'!S2930," ")</f>
        <v> </v>
      </c>
      <c r="D469" s="15" t="str">
        <f>IF(AND(E469&gt;0,'[1]Demand'!AB2929="Y"),"*"," ")</f>
        <v> </v>
      </c>
      <c r="E469" s="76" t="str">
        <f>IF(AND(ISBLANK('[1]Demand'!Y2930),'[1]Demand'!U2930&gt;0),'[1]Demand'!U2930," ")</f>
        <v> </v>
      </c>
      <c r="F469" s="46"/>
      <c r="G469" s="77" t="str">
        <f>IF(AND(ISBLANK('[1]Demand'!Y2930),'[1]Demand'!V2930&gt;0),'[1]Demand'!V2930," ")</f>
        <v> </v>
      </c>
      <c r="H469" s="46"/>
      <c r="I469" s="78" t="str">
        <f>IF(AND(ISBLANK('[1]Demand'!Y2930),'[1]Demand'!W2930&gt;0),'[1]Demand'!W2930," ")</f>
        <v> </v>
      </c>
    </row>
    <row r="470" spans="1:9" ht="12.75" customHeight="1">
      <c r="A470" s="66"/>
      <c r="B470" s="4" t="str">
        <f>IF(AND(ISBLANK('[1]Demand'!Y2931),'[1]Demand'!T2931&gt;0),'[1]Demand'!T2931," ")</f>
        <v> </v>
      </c>
      <c r="C470" s="15" t="str">
        <f>IF(AND(ISBLANK('[1]Demand'!Y2931),'[1]Demand'!S2931&gt;0),'[1]Demand'!S2931," ")</f>
        <v> </v>
      </c>
      <c r="D470" s="15" t="str">
        <f>IF(AND(E470&gt;0,'[1]Demand'!AB2930="Y"),"*"," ")</f>
        <v> </v>
      </c>
      <c r="E470" s="76" t="str">
        <f>IF(AND(ISBLANK('[1]Demand'!Y2931),'[1]Demand'!U2931&gt;0),'[1]Demand'!U2931," ")</f>
        <v> </v>
      </c>
      <c r="F470" s="46"/>
      <c r="G470" s="77" t="str">
        <f>IF(AND(ISBLANK('[1]Demand'!Y2931),'[1]Demand'!V2931&gt;0),'[1]Demand'!V2931," ")</f>
        <v> </v>
      </c>
      <c r="H470" s="46"/>
      <c r="I470" s="78" t="str">
        <f>IF(AND(ISBLANK('[1]Demand'!Y2931),'[1]Demand'!W2931&gt;0),'[1]Demand'!W2931," ")</f>
        <v> </v>
      </c>
    </row>
    <row r="471" spans="1:9" ht="12.75" customHeight="1">
      <c r="A471" s="66"/>
      <c r="B471" s="4" t="str">
        <f>IF(AND(ISBLANK('[1]Demand'!Y2932),'[1]Demand'!T2932&gt;0),'[1]Demand'!T2932," ")</f>
        <v> </v>
      </c>
      <c r="C471" s="15" t="str">
        <f>IF(AND(ISBLANK('[1]Demand'!Y2932),'[1]Demand'!S2932&gt;0),'[1]Demand'!S2932," ")</f>
        <v> </v>
      </c>
      <c r="D471" s="15" t="str">
        <f>IF(AND(E471&gt;0,'[1]Demand'!AB2931="Y"),"*"," ")</f>
        <v> </v>
      </c>
      <c r="E471" s="76" t="str">
        <f>IF(AND(ISBLANK('[1]Demand'!Y2932),'[1]Demand'!U2932&gt;0),'[1]Demand'!U2932," ")</f>
        <v> </v>
      </c>
      <c r="F471" s="46"/>
      <c r="G471" s="77" t="str">
        <f>IF(AND(ISBLANK('[1]Demand'!Y2932),'[1]Demand'!V2932&gt;0),'[1]Demand'!V2932," ")</f>
        <v> </v>
      </c>
      <c r="H471" s="46"/>
      <c r="I471" s="78" t="str">
        <f>IF(AND(ISBLANK('[1]Demand'!Y2932),'[1]Demand'!W2932&gt;0),'[1]Demand'!W2932," ")</f>
        <v> </v>
      </c>
    </row>
    <row r="472" spans="1:9" ht="12.75" customHeight="1">
      <c r="A472" s="66"/>
      <c r="B472" s="4" t="str">
        <f>IF(AND(ISBLANK('[1]Demand'!Y2933),'[1]Demand'!T2933&gt;0),'[1]Demand'!T2933," ")</f>
        <v> </v>
      </c>
      <c r="C472" s="15" t="str">
        <f>IF(AND(ISBLANK('[1]Demand'!Y2933),'[1]Demand'!S2933&gt;0),'[1]Demand'!S2933," ")</f>
        <v> </v>
      </c>
      <c r="D472" s="15" t="str">
        <f>IF(AND(E472&gt;0,'[1]Demand'!AB2932="Y"),"*"," ")</f>
        <v> </v>
      </c>
      <c r="E472" s="76" t="str">
        <f>IF(AND(ISBLANK('[1]Demand'!Y2933),'[1]Demand'!U2933&gt;0),'[1]Demand'!U2933," ")</f>
        <v> </v>
      </c>
      <c r="F472" s="46"/>
      <c r="G472" s="77" t="str">
        <f>IF(AND(ISBLANK('[1]Demand'!Y2933),'[1]Demand'!V2933&gt;0),'[1]Demand'!V2933," ")</f>
        <v> </v>
      </c>
      <c r="H472" s="46"/>
      <c r="I472" s="78" t="str">
        <f>IF(AND(ISBLANK('[1]Demand'!Y2933),'[1]Demand'!W2933&gt;0),'[1]Demand'!W2933," ")</f>
        <v> </v>
      </c>
    </row>
    <row r="473" spans="1:9" ht="12.75" customHeight="1">
      <c r="A473" s="66"/>
      <c r="B473" s="4" t="str">
        <f>IF(AND(ISBLANK('[1]Demand'!Y2934),'[1]Demand'!T2934&gt;0),'[1]Demand'!T2934," ")</f>
        <v> </v>
      </c>
      <c r="C473" s="15" t="str">
        <f>IF(AND(ISBLANK('[1]Demand'!Y2934),'[1]Demand'!S2934&gt;0),'[1]Demand'!S2934," ")</f>
        <v> </v>
      </c>
      <c r="D473" s="15" t="str">
        <f>IF(AND(E473&gt;0,'[1]Demand'!AB2933="Y"),"*"," ")</f>
        <v> </v>
      </c>
      <c r="E473" s="76" t="str">
        <f>IF(AND(ISBLANK('[1]Demand'!Y2934),'[1]Demand'!U2934&gt;0),'[1]Demand'!U2934," ")</f>
        <v> </v>
      </c>
      <c r="F473" s="46"/>
      <c r="G473" s="77" t="str">
        <f>IF(AND(ISBLANK('[1]Demand'!Y2934),'[1]Demand'!V2934&gt;0),'[1]Demand'!V2934," ")</f>
        <v> </v>
      </c>
      <c r="H473" s="46"/>
      <c r="I473" s="78" t="str">
        <f>IF(AND(ISBLANK('[1]Demand'!Y2934),'[1]Demand'!W2934&gt;0),'[1]Demand'!W2934," ")</f>
        <v> </v>
      </c>
    </row>
    <row r="474" spans="1:9" ht="12.75" customHeight="1">
      <c r="A474" s="66"/>
      <c r="B474" s="4" t="str">
        <f>IF(AND(ISBLANK('[1]Demand'!Y2935),'[1]Demand'!T2935&gt;0),'[1]Demand'!T2935," ")</f>
        <v> </v>
      </c>
      <c r="C474" s="15" t="str">
        <f>IF(AND(ISBLANK('[1]Demand'!Y2935),'[1]Demand'!S2935&gt;0),'[1]Demand'!S2935," ")</f>
        <v> </v>
      </c>
      <c r="D474" s="15" t="str">
        <f>IF(AND(E474&gt;0,'[1]Demand'!AB2934="Y"),"*"," ")</f>
        <v> </v>
      </c>
      <c r="E474" s="76" t="str">
        <f>IF(AND(ISBLANK('[1]Demand'!Y2935),'[1]Demand'!U2935&gt;0),'[1]Demand'!U2935," ")</f>
        <v> </v>
      </c>
      <c r="F474" s="46"/>
      <c r="G474" s="77" t="str">
        <f>IF(AND(ISBLANK('[1]Demand'!Y2935),'[1]Demand'!V2935&gt;0),'[1]Demand'!V2935," ")</f>
        <v> </v>
      </c>
      <c r="H474" s="46"/>
      <c r="I474" s="78" t="str">
        <f>IF(AND(ISBLANK('[1]Demand'!Y2935),'[1]Demand'!W2935&gt;0),'[1]Demand'!W2935," ")</f>
        <v> </v>
      </c>
    </row>
    <row r="475" spans="1:9" ht="12.75" customHeight="1">
      <c r="A475" s="66"/>
      <c r="B475" s="4" t="str">
        <f>IF(AND(ISBLANK('[1]Demand'!Y2936),'[1]Demand'!T2936&gt;0),'[1]Demand'!T2936," ")</f>
        <v> </v>
      </c>
      <c r="C475" s="15" t="str">
        <f>IF(AND(ISBLANK('[1]Demand'!Y2936),'[1]Demand'!S2936&gt;0),'[1]Demand'!S2936," ")</f>
        <v> </v>
      </c>
      <c r="D475" s="15" t="str">
        <f>IF(AND(E475&gt;0,'[1]Demand'!AB2935="Y"),"*"," ")</f>
        <v> </v>
      </c>
      <c r="E475" s="76" t="str">
        <f>IF(AND(ISBLANK('[1]Demand'!Y2936),'[1]Demand'!U2936&gt;0),'[1]Demand'!U2936," ")</f>
        <v> </v>
      </c>
      <c r="F475" s="46"/>
      <c r="G475" s="77" t="str">
        <f>IF(AND(ISBLANK('[1]Demand'!Y2936),'[1]Demand'!V2936&gt;0),'[1]Demand'!V2936," ")</f>
        <v> </v>
      </c>
      <c r="H475" s="46"/>
      <c r="I475" s="78" t="str">
        <f>IF(AND(ISBLANK('[1]Demand'!Y2936),'[1]Demand'!W2936&gt;0),'[1]Demand'!W2936," ")</f>
        <v> </v>
      </c>
    </row>
    <row r="476" spans="1:9" ht="12.75" customHeight="1" thickBot="1">
      <c r="A476" s="89" t="s">
        <v>117</v>
      </c>
      <c r="B476" s="86"/>
      <c r="C476" s="86"/>
      <c r="D476" s="94"/>
      <c r="E476" s="95"/>
      <c r="F476" s="86"/>
      <c r="G476" s="89"/>
      <c r="H476" s="86"/>
      <c r="I476" s="58">
        <f>SUM(I467:I475)</f>
        <v>0</v>
      </c>
    </row>
    <row r="477" spans="1:9" ht="12.75" customHeight="1">
      <c r="A477" s="66"/>
      <c r="E477" s="90"/>
      <c r="G477" s="66"/>
      <c r="I477" s="57"/>
    </row>
    <row r="478" spans="1:9" ht="12.75" customHeight="1">
      <c r="A478" s="91" t="s">
        <v>48</v>
      </c>
      <c r="B478" s="75"/>
      <c r="E478" s="90"/>
      <c r="G478" s="66"/>
      <c r="I478" s="73"/>
    </row>
    <row r="479" spans="1:9" ht="12.75" customHeight="1">
      <c r="A479" s="66"/>
      <c r="B479" s="4" t="s">
        <v>48</v>
      </c>
      <c r="D479" s="15" t="str">
        <f>IF(AND(E479&gt;0,'[1]Instruct &amp; Input'!$Z$34="Y"),"*"," ")</f>
        <v> </v>
      </c>
      <c r="E479" s="90"/>
      <c r="G479" s="66"/>
      <c r="I479" s="57">
        <f>ROUND(G479*E479,0)</f>
        <v>0</v>
      </c>
    </row>
    <row r="480" spans="1:9" ht="12.75" customHeight="1">
      <c r="A480" s="79"/>
      <c r="B480" s="4" t="s">
        <v>102</v>
      </c>
      <c r="C480" s="4" t="s">
        <v>103</v>
      </c>
      <c r="D480" s="15" t="str">
        <f>IF(AND(E480&gt;0,'[1]Instruct &amp; Input'!$Z$34="Y"),"*"," ")</f>
        <v> </v>
      </c>
      <c r="E480" s="90"/>
      <c r="G480" s="66"/>
      <c r="I480" s="92">
        <f>ROUND(G480*E480,0)</f>
        <v>0</v>
      </c>
    </row>
    <row r="481" spans="1:9" ht="12.75" customHeight="1" thickBot="1">
      <c r="A481" s="93" t="s">
        <v>104</v>
      </c>
      <c r="B481" s="86"/>
      <c r="C481" s="86"/>
      <c r="D481" s="94"/>
      <c r="E481" s="95"/>
      <c r="F481" s="86"/>
      <c r="G481" s="89"/>
      <c r="H481" s="86"/>
      <c r="I481" s="58">
        <f>SUM(I479:I480)</f>
        <v>0</v>
      </c>
    </row>
    <row r="482" spans="1:9" ht="12.75" customHeight="1">
      <c r="A482" s="45"/>
      <c r="E482" s="90"/>
      <c r="G482" s="66"/>
      <c r="I482" s="73"/>
    </row>
    <row r="483" spans="1:9" ht="12.75" customHeight="1">
      <c r="A483" s="96" t="s">
        <v>49</v>
      </c>
      <c r="B483" s="75"/>
      <c r="E483" s="90"/>
      <c r="G483" s="66"/>
      <c r="I483" s="73"/>
    </row>
    <row r="484" spans="1:9" ht="12.75" customHeight="1">
      <c r="A484" s="66"/>
      <c r="B484" s="4" t="s">
        <v>118</v>
      </c>
      <c r="E484" s="90"/>
      <c r="G484" s="66"/>
      <c r="I484" s="57">
        <f>ROUND(G484*E484,0)</f>
        <v>0</v>
      </c>
    </row>
    <row r="485" spans="1:9" ht="12.75" customHeight="1">
      <c r="A485" s="66"/>
      <c r="B485" s="4" t="s">
        <v>119</v>
      </c>
      <c r="E485" s="90"/>
      <c r="G485" s="66"/>
      <c r="I485" s="92">
        <f>ROUND(G485*E485,0)</f>
        <v>0</v>
      </c>
    </row>
    <row r="486" spans="1:9" ht="12.75" customHeight="1" thickBot="1">
      <c r="A486" s="89" t="s">
        <v>106</v>
      </c>
      <c r="B486" s="86"/>
      <c r="C486" s="86"/>
      <c r="D486" s="94"/>
      <c r="E486" s="95"/>
      <c r="F486" s="86"/>
      <c r="G486" s="89"/>
      <c r="H486" s="86"/>
      <c r="I486" s="97">
        <f>SUM(I484:I485)</f>
        <v>0</v>
      </c>
    </row>
    <row r="487" spans="1:9" ht="12.75" customHeight="1">
      <c r="A487" s="55"/>
      <c r="E487" s="98"/>
      <c r="G487" s="55"/>
      <c r="I487" s="73"/>
    </row>
    <row r="488" spans="1:9" ht="12.75" customHeight="1" thickBot="1">
      <c r="A488" s="4" t="s">
        <v>107</v>
      </c>
      <c r="E488" s="98"/>
      <c r="G488" s="55"/>
      <c r="I488" s="58">
        <f>SUM(I467:I486)/2</f>
        <v>0</v>
      </c>
    </row>
    <row r="489" spans="5:7" ht="12.75" customHeight="1">
      <c r="E489" s="98"/>
      <c r="G489" s="55"/>
    </row>
    <row r="490" ht="12.75" customHeight="1">
      <c r="G490" s="55"/>
    </row>
    <row r="491" spans="1:7" ht="12.75" customHeight="1">
      <c r="A491" s="101"/>
      <c r="B491" s="32" t="s">
        <v>108</v>
      </c>
      <c r="C491" s="4" t="s">
        <v>109</v>
      </c>
      <c r="G491" s="55"/>
    </row>
    <row r="492" spans="1:7" ht="12.75" customHeight="1">
      <c r="A492" s="55"/>
      <c r="C492" s="4" t="s">
        <v>110</v>
      </c>
      <c r="G492" s="55"/>
    </row>
    <row r="493" spans="1:7" ht="12.75" customHeight="1">
      <c r="A493" s="55"/>
      <c r="C493" s="4" t="s">
        <v>111</v>
      </c>
      <c r="G493" s="55"/>
    </row>
    <row r="494" spans="3:7" ht="12.75" customHeight="1">
      <c r="C494" s="4" t="s">
        <v>112</v>
      </c>
      <c r="G494" s="55"/>
    </row>
    <row r="495" ht="12.75" customHeight="1">
      <c r="G495" s="55"/>
    </row>
    <row r="496" spans="1:9" ht="12.75" customHeight="1">
      <c r="A496" s="32"/>
      <c r="I496" s="32" t="s">
        <v>75</v>
      </c>
    </row>
    <row r="497" spans="1:9" ht="12.75" customHeight="1">
      <c r="A497" s="32"/>
      <c r="I497" s="32" t="str">
        <f>IF('[1]Scratch Pad'!C14="N","Page "&amp;'[1]Scratch Pad'!D14&amp;" of 6","MISCELLANEOUS")</f>
        <v>Page 5 of 6</v>
      </c>
    </row>
    <row r="498" spans="1:9" ht="12.75" customHeight="1">
      <c r="A498" s="2" t="s">
        <v>0</v>
      </c>
      <c r="B498" s="2"/>
      <c r="C498" s="2"/>
      <c r="D498" s="2"/>
      <c r="E498" s="2"/>
      <c r="F498" s="2"/>
      <c r="G498" s="2"/>
      <c r="H498" s="2"/>
      <c r="I498" s="2"/>
    </row>
    <row r="499" spans="1:9" ht="12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 customHeight="1">
      <c r="A500" s="33" t="s">
        <v>1</v>
      </c>
      <c r="B500" s="2"/>
      <c r="C500" s="2"/>
      <c r="D500" s="2"/>
      <c r="E500" s="2"/>
      <c r="F500" s="2"/>
      <c r="G500" s="2"/>
      <c r="H500" s="2"/>
      <c r="I500" s="2"/>
    </row>
    <row r="501" spans="1:9" ht="12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 customHeight="1">
      <c r="A502" s="2" t="s">
        <v>76</v>
      </c>
      <c r="B502" s="2"/>
      <c r="C502" s="2"/>
      <c r="D502" s="2"/>
      <c r="E502" s="2"/>
      <c r="F502" s="2"/>
      <c r="G502" s="2"/>
      <c r="H502" s="2"/>
      <c r="I502" s="2"/>
    </row>
    <row r="504" spans="3:6" ht="12.75" customHeight="1">
      <c r="C504" s="32" t="s">
        <v>42</v>
      </c>
      <c r="D504" s="12"/>
      <c r="E504" s="62" t="str">
        <f>$E$9</f>
        <v>April 29, 2009</v>
      </c>
      <c r="F504" s="4" t="s">
        <v>43</v>
      </c>
    </row>
    <row r="505" spans="3:5" ht="12.75" customHeight="1">
      <c r="C505" s="32" t="s">
        <v>44</v>
      </c>
      <c r="D505" s="12"/>
      <c r="E505" s="62" t="str">
        <f>E$10</f>
        <v>April 30, 2010</v>
      </c>
    </row>
    <row r="507" spans="1:9" ht="12.75" customHeight="1">
      <c r="A507" s="46"/>
      <c r="C507" s="32" t="s">
        <v>77</v>
      </c>
      <c r="D507" s="12"/>
      <c r="E507" s="63" t="s">
        <v>127</v>
      </c>
      <c r="F507" s="8"/>
      <c r="G507" s="8"/>
      <c r="H507" s="8"/>
      <c r="I507" s="8"/>
    </row>
    <row r="508" spans="1:9" ht="12.75" customHeight="1">
      <c r="A508" s="64"/>
      <c r="C508" s="32" t="s">
        <v>78</v>
      </c>
      <c r="D508" s="12"/>
      <c r="E508" s="63" t="s">
        <v>128</v>
      </c>
      <c r="F508" s="8"/>
      <c r="G508" s="8"/>
      <c r="H508" s="8"/>
      <c r="I508" s="8"/>
    </row>
    <row r="509" spans="3:9" ht="12.75" customHeight="1">
      <c r="C509" s="32" t="s">
        <v>80</v>
      </c>
      <c r="D509" s="12"/>
      <c r="E509" s="62" t="str">
        <f>'[1]Demand'!Z2937</f>
        <v>Per Contract</v>
      </c>
      <c r="H509" s="32" t="s">
        <v>81</v>
      </c>
      <c r="I509" s="112" t="str">
        <f>IF(ISBLANK('[1]Demand'!AA2936)," ",'[1]Demand'!AA2936)</f>
        <v>N/A</v>
      </c>
    </row>
    <row r="511" spans="1:9" ht="12.75" customHeight="1">
      <c r="A511" s="55"/>
      <c r="C511" s="32" t="s">
        <v>82</v>
      </c>
      <c r="D511" s="12" t="s">
        <v>83</v>
      </c>
      <c r="E511" s="4" t="s">
        <v>84</v>
      </c>
      <c r="F511" s="12"/>
      <c r="G511" s="4" t="s">
        <v>85</v>
      </c>
      <c r="H511" s="12"/>
      <c r="I511" s="4" t="s">
        <v>86</v>
      </c>
    </row>
    <row r="512" spans="1:9" ht="12.75" customHeight="1">
      <c r="A512" s="55"/>
      <c r="C512" s="32" t="s">
        <v>87</v>
      </c>
      <c r="D512" s="12"/>
      <c r="E512" s="4" t="s">
        <v>88</v>
      </c>
      <c r="F512" s="12" t="s">
        <v>83</v>
      </c>
      <c r="G512" s="4" t="s">
        <v>89</v>
      </c>
      <c r="H512" s="12"/>
      <c r="I512" s="4" t="s">
        <v>90</v>
      </c>
    </row>
    <row r="513" spans="1:8" ht="12.75" customHeight="1">
      <c r="A513" s="55"/>
      <c r="C513" s="32" t="s">
        <v>91</v>
      </c>
      <c r="D513" s="12" t="s">
        <v>83</v>
      </c>
      <c r="E513" s="4" t="s">
        <v>92</v>
      </c>
      <c r="F513" s="12"/>
      <c r="G513" s="4" t="s">
        <v>93</v>
      </c>
      <c r="H513" s="15"/>
    </row>
    <row r="514" ht="12.75" customHeight="1">
      <c r="A514" s="55"/>
    </row>
    <row r="515" spans="1:9" ht="12.75" customHeight="1">
      <c r="A515" s="59"/>
      <c r="B515" s="9"/>
      <c r="C515" s="9"/>
      <c r="D515" s="12"/>
      <c r="E515" s="9"/>
      <c r="F515" s="9"/>
      <c r="G515" s="9"/>
      <c r="H515" s="9"/>
      <c r="I515" s="9"/>
    </row>
    <row r="516" spans="1:9" ht="12.75" customHeight="1">
      <c r="A516" s="66"/>
      <c r="B516" s="7"/>
      <c r="C516" s="7"/>
      <c r="D516" s="67"/>
      <c r="E516" s="68" t="s">
        <v>94</v>
      </c>
      <c r="F516" s="7"/>
      <c r="G516" s="68" t="s">
        <v>95</v>
      </c>
      <c r="H516" s="7"/>
      <c r="I516" s="69" t="s">
        <v>96</v>
      </c>
    </row>
    <row r="517" spans="1:9" ht="12.75" customHeight="1">
      <c r="A517" s="70"/>
      <c r="B517" s="9" t="s">
        <v>97</v>
      </c>
      <c r="C517" s="9"/>
      <c r="D517" s="12"/>
      <c r="E517" s="71" t="s">
        <v>98</v>
      </c>
      <c r="F517" s="9"/>
      <c r="G517" s="71" t="s">
        <v>99</v>
      </c>
      <c r="H517" s="9"/>
      <c r="I517" s="72" t="s">
        <v>100</v>
      </c>
    </row>
    <row r="518" spans="1:9" ht="12.75" customHeight="1">
      <c r="A518" s="66"/>
      <c r="E518" s="45"/>
      <c r="G518" s="45"/>
      <c r="I518" s="73"/>
    </row>
    <row r="519" spans="1:9" ht="12.75" customHeight="1">
      <c r="A519" s="74" t="s">
        <v>47</v>
      </c>
      <c r="B519" s="75"/>
      <c r="E519" s="45"/>
      <c r="G519" s="45"/>
      <c r="I519" s="73"/>
    </row>
    <row r="520" spans="1:9" ht="12.75" customHeight="1">
      <c r="A520" s="66"/>
      <c r="B520" s="4" t="str">
        <f>IF(AND(ISBLANK('[1]Demand'!Y2937),'[1]Demand'!T2937&gt;0),'[1]Demand'!T2937," ")</f>
        <v>Firm Peaking Contracts</v>
      </c>
      <c r="C520" s="15"/>
      <c r="D520" s="15" t="str">
        <f>IF(AND(E520&gt;0,'[1]Demand'!AB2936="Y"),"*"," ")</f>
        <v> </v>
      </c>
      <c r="E520" s="76"/>
      <c r="F520" s="46"/>
      <c r="G520" s="77"/>
      <c r="H520" s="46"/>
      <c r="I520" s="78">
        <f>IF(AND(ISBLANK('[1]Demand'!Y2937),'[1]Demand'!W2937&gt;0),'[1]Demand'!W2937," ")</f>
        <v>1862335</v>
      </c>
    </row>
    <row r="521" spans="1:9" ht="12.75" customHeight="1">
      <c r="A521" s="79"/>
      <c r="C521" s="15"/>
      <c r="E521" s="90"/>
      <c r="G521" s="66"/>
      <c r="I521" s="57"/>
    </row>
    <row r="522" spans="1:9" ht="12.75" customHeight="1">
      <c r="A522" s="66"/>
      <c r="C522" s="15"/>
      <c r="E522" s="90"/>
      <c r="G522" s="66"/>
      <c r="I522" s="57"/>
    </row>
    <row r="523" spans="1:9" ht="12.75" customHeight="1">
      <c r="A523" s="66"/>
      <c r="C523" s="15"/>
      <c r="E523" s="90"/>
      <c r="G523" s="66"/>
      <c r="I523" s="57"/>
    </row>
    <row r="524" spans="1:9" ht="12.75" customHeight="1">
      <c r="A524" s="66"/>
      <c r="C524" s="15"/>
      <c r="E524" s="90"/>
      <c r="G524" s="66"/>
      <c r="I524" s="57"/>
    </row>
    <row r="525" spans="1:9" ht="12.75" customHeight="1">
      <c r="A525" s="66"/>
      <c r="C525" s="15"/>
      <c r="E525" s="90"/>
      <c r="G525" s="66"/>
      <c r="I525" s="57"/>
    </row>
    <row r="526" spans="1:9" ht="12.75" customHeight="1">
      <c r="A526" s="66"/>
      <c r="C526" s="15"/>
      <c r="E526" s="90"/>
      <c r="G526" s="66"/>
      <c r="I526" s="57"/>
    </row>
    <row r="527" spans="1:9" ht="12.75" customHeight="1">
      <c r="A527" s="66"/>
      <c r="C527" s="15"/>
      <c r="E527" s="90"/>
      <c r="G527" s="66"/>
      <c r="I527" s="57"/>
    </row>
    <row r="528" spans="1:9" ht="12.75" customHeight="1">
      <c r="A528" s="66"/>
      <c r="C528" s="15"/>
      <c r="E528" s="90"/>
      <c r="G528" s="66"/>
      <c r="I528" s="92"/>
    </row>
    <row r="529" spans="1:9" ht="12.75" customHeight="1" thickBot="1">
      <c r="A529" s="89" t="s">
        <v>117</v>
      </c>
      <c r="B529" s="86"/>
      <c r="C529" s="86"/>
      <c r="D529" s="94"/>
      <c r="E529" s="95"/>
      <c r="F529" s="86"/>
      <c r="G529" s="89"/>
      <c r="H529" s="86"/>
      <c r="I529" s="58">
        <f>SUM(I520:I528)</f>
        <v>1862335</v>
      </c>
    </row>
    <row r="530" spans="1:9" ht="12.75" customHeight="1">
      <c r="A530" s="66"/>
      <c r="E530" s="90"/>
      <c r="G530" s="66"/>
      <c r="I530" s="57"/>
    </row>
    <row r="531" spans="1:9" ht="12.75" customHeight="1">
      <c r="A531" s="91" t="s">
        <v>48</v>
      </c>
      <c r="B531" s="75"/>
      <c r="E531" s="90"/>
      <c r="G531" s="66"/>
      <c r="I531" s="73"/>
    </row>
    <row r="532" spans="1:9" ht="12.75" customHeight="1">
      <c r="A532" s="66"/>
      <c r="B532" s="4" t="s">
        <v>48</v>
      </c>
      <c r="D532" s="15" t="str">
        <f>IF(AND(E532&gt;0,'[1]Instruct &amp; Input'!$Z$34="Y"),"*"," ")</f>
        <v> </v>
      </c>
      <c r="E532" s="90"/>
      <c r="G532" s="66"/>
      <c r="I532" s="57">
        <f>ROUND(G532*E532,0)</f>
        <v>0</v>
      </c>
    </row>
    <row r="533" spans="1:9" ht="12.75" customHeight="1">
      <c r="A533" s="79"/>
      <c r="B533" s="4" t="s">
        <v>102</v>
      </c>
      <c r="C533" s="4" t="s">
        <v>103</v>
      </c>
      <c r="D533" s="15" t="str">
        <f>IF(AND(E533&gt;0,'[1]Instruct &amp; Input'!$Z$34="Y"),"*"," ")</f>
        <v> </v>
      </c>
      <c r="E533" s="90"/>
      <c r="G533" s="66"/>
      <c r="I533" s="92">
        <f>ROUND(G533*E533,0)</f>
        <v>0</v>
      </c>
    </row>
    <row r="534" spans="1:9" ht="12.75" customHeight="1" thickBot="1">
      <c r="A534" s="93" t="s">
        <v>104</v>
      </c>
      <c r="B534" s="86"/>
      <c r="C534" s="86"/>
      <c r="D534" s="94"/>
      <c r="E534" s="95"/>
      <c r="F534" s="86"/>
      <c r="G534" s="89"/>
      <c r="H534" s="86"/>
      <c r="I534" s="58">
        <f>SUM(I532:I533)</f>
        <v>0</v>
      </c>
    </row>
    <row r="535" spans="1:9" ht="12.75" customHeight="1">
      <c r="A535" s="45"/>
      <c r="E535" s="90"/>
      <c r="G535" s="66"/>
      <c r="I535" s="73"/>
    </row>
    <row r="536" spans="1:9" ht="12.75" customHeight="1">
      <c r="A536" s="96" t="s">
        <v>49</v>
      </c>
      <c r="B536" s="75"/>
      <c r="E536" s="90"/>
      <c r="G536" s="66"/>
      <c r="I536" s="73"/>
    </row>
    <row r="537" spans="1:9" ht="12.75" customHeight="1">
      <c r="A537" s="66"/>
      <c r="B537" s="4" t="s">
        <v>118</v>
      </c>
      <c r="E537" s="90"/>
      <c r="G537" s="66"/>
      <c r="I537" s="57">
        <f>ROUND(G537*E537,0)</f>
        <v>0</v>
      </c>
    </row>
    <row r="538" spans="1:9" ht="12.75" customHeight="1">
      <c r="A538" s="66"/>
      <c r="B538" s="4" t="s">
        <v>119</v>
      </c>
      <c r="E538" s="90"/>
      <c r="G538" s="66"/>
      <c r="I538" s="92">
        <f>ROUND(G538*E538,0)</f>
        <v>0</v>
      </c>
    </row>
    <row r="539" spans="1:9" ht="12.75" customHeight="1" thickBot="1">
      <c r="A539" s="89" t="s">
        <v>106</v>
      </c>
      <c r="B539" s="86"/>
      <c r="C539" s="86"/>
      <c r="D539" s="94"/>
      <c r="E539" s="95"/>
      <c r="F539" s="86"/>
      <c r="G539" s="89"/>
      <c r="H539" s="86"/>
      <c r="I539" s="97">
        <f>SUM(I537:I538)</f>
        <v>0</v>
      </c>
    </row>
    <row r="540" spans="1:9" ht="12.75" customHeight="1">
      <c r="A540" s="55"/>
      <c r="E540" s="98"/>
      <c r="G540" s="55"/>
      <c r="I540" s="73"/>
    </row>
    <row r="541" spans="1:9" ht="12.75" customHeight="1" thickBot="1">
      <c r="A541" s="4" t="s">
        <v>107</v>
      </c>
      <c r="E541" s="98"/>
      <c r="G541" s="55"/>
      <c r="I541" s="58">
        <f>SUM(I520:I539)/2</f>
        <v>1862335</v>
      </c>
    </row>
    <row r="542" spans="5:7" ht="12.75" customHeight="1">
      <c r="E542" s="98"/>
      <c r="G542" s="55"/>
    </row>
    <row r="543" ht="12.75" customHeight="1">
      <c r="G543" s="55"/>
    </row>
    <row r="544" spans="1:7" ht="12.75" customHeight="1">
      <c r="A544" s="101"/>
      <c r="B544" s="32" t="s">
        <v>108</v>
      </c>
      <c r="C544" s="4" t="s">
        <v>109</v>
      </c>
      <c r="G544" s="55"/>
    </row>
    <row r="545" spans="1:7" ht="12.75" customHeight="1">
      <c r="A545" s="55"/>
      <c r="C545" s="4" t="s">
        <v>110</v>
      </c>
      <c r="G545" s="55"/>
    </row>
    <row r="546" spans="1:7" ht="12.75" customHeight="1">
      <c r="A546" s="55"/>
      <c r="C546" s="4" t="s">
        <v>111</v>
      </c>
      <c r="G546" s="55"/>
    </row>
    <row r="547" spans="3:7" ht="12.75" customHeight="1">
      <c r="C547" s="4" t="s">
        <v>112</v>
      </c>
      <c r="G547" s="55"/>
    </row>
    <row r="548" ht="12.75" customHeight="1">
      <c r="G548" s="55"/>
    </row>
    <row r="549" spans="1:9" ht="12.75" customHeight="1">
      <c r="A549" s="32"/>
      <c r="I549" s="32" t="s">
        <v>75</v>
      </c>
    </row>
    <row r="550" spans="1:9" ht="12.75" customHeight="1">
      <c r="A550" s="32"/>
      <c r="I550" s="32" t="str">
        <f>IF('[1]Scratch Pad'!C15="N","Page "&amp;'[1]Scratch Pad'!D15&amp;" of 6","MISCELLANEOUS")</f>
        <v>MISCELLANEOUS</v>
      </c>
    </row>
    <row r="551" spans="1:9" ht="12.75" customHeight="1">
      <c r="A551" s="2" t="s">
        <v>0</v>
      </c>
      <c r="B551" s="2"/>
      <c r="C551" s="2"/>
      <c r="D551" s="2"/>
      <c r="E551" s="2"/>
      <c r="F551" s="2"/>
      <c r="G551" s="2"/>
      <c r="H551" s="2"/>
      <c r="I551" s="2"/>
    </row>
    <row r="552" spans="1:9" ht="12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 customHeight="1">
      <c r="A553" s="33" t="s">
        <v>1</v>
      </c>
      <c r="B553" s="2"/>
      <c r="C553" s="2"/>
      <c r="D553" s="2"/>
      <c r="E553" s="2"/>
      <c r="F553" s="2"/>
      <c r="G553" s="2"/>
      <c r="H553" s="2"/>
      <c r="I553" s="2"/>
    </row>
    <row r="554" spans="1:9" ht="12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 customHeight="1">
      <c r="A555" s="2" t="s">
        <v>76</v>
      </c>
      <c r="B555" s="2"/>
      <c r="C555" s="2"/>
      <c r="D555" s="2"/>
      <c r="E555" s="2"/>
      <c r="F555" s="2"/>
      <c r="G555" s="2"/>
      <c r="H555" s="2"/>
      <c r="I555" s="2"/>
    </row>
    <row r="557" spans="3:6" ht="12.75" customHeight="1">
      <c r="C557" s="32" t="s">
        <v>42</v>
      </c>
      <c r="D557" s="12"/>
      <c r="E557" s="62" t="str">
        <f>$E$9</f>
        <v>April 29, 2009</v>
      </c>
      <c r="F557" s="4" t="s">
        <v>43</v>
      </c>
    </row>
    <row r="558" spans="3:5" ht="12.75" customHeight="1">
      <c r="C558" s="32" t="s">
        <v>44</v>
      </c>
      <c r="D558" s="12"/>
      <c r="E558" s="62" t="str">
        <f>E$10</f>
        <v>April 30, 2010</v>
      </c>
    </row>
    <row r="560" spans="1:9" ht="12.75" customHeight="1">
      <c r="A560" s="46"/>
      <c r="C560" s="32" t="s">
        <v>77</v>
      </c>
      <c r="D560" s="12"/>
      <c r="E560" s="62" t="str">
        <f>'[1]Demand'!R2938</f>
        <v>Reserved for Future Use</v>
      </c>
      <c r="F560" s="8"/>
      <c r="G560" s="8"/>
      <c r="H560" s="8"/>
      <c r="I560" s="8"/>
    </row>
    <row r="561" spans="1:9" ht="12.75" customHeight="1">
      <c r="A561" s="64"/>
      <c r="C561" s="32" t="s">
        <v>78</v>
      </c>
      <c r="D561" s="12"/>
      <c r="E561" s="63" t="s">
        <v>79</v>
      </c>
      <c r="F561" s="8"/>
      <c r="G561" s="8"/>
      <c r="H561" s="8"/>
      <c r="I561" s="8"/>
    </row>
    <row r="562" spans="3:9" ht="12.75" customHeight="1">
      <c r="C562" s="32" t="s">
        <v>80</v>
      </c>
      <c r="D562" s="12"/>
      <c r="E562" s="62">
        <f>'[1]Demand'!Z2938</f>
        <v>0</v>
      </c>
      <c r="H562" s="32" t="s">
        <v>81</v>
      </c>
      <c r="I562" s="112" t="str">
        <f>IF(ISBLANK('[1]Demand'!AA2937)," ",'[1]Demand'!AA2937)</f>
        <v>N/A</v>
      </c>
    </row>
    <row r="564" spans="1:9" ht="12.75" customHeight="1">
      <c r="A564" s="55"/>
      <c r="C564" s="32" t="s">
        <v>82</v>
      </c>
      <c r="D564" s="12" t="s">
        <v>83</v>
      </c>
      <c r="E564" s="4" t="s">
        <v>84</v>
      </c>
      <c r="F564" s="12"/>
      <c r="G564" s="4" t="s">
        <v>85</v>
      </c>
      <c r="H564" s="12"/>
      <c r="I564" s="4" t="s">
        <v>86</v>
      </c>
    </row>
    <row r="565" spans="1:9" ht="12.75" customHeight="1">
      <c r="A565" s="55"/>
      <c r="C565" s="32" t="s">
        <v>87</v>
      </c>
      <c r="D565" s="12"/>
      <c r="E565" s="4" t="s">
        <v>88</v>
      </c>
      <c r="F565" s="12" t="s">
        <v>83</v>
      </c>
      <c r="G565" s="4" t="s">
        <v>89</v>
      </c>
      <c r="H565" s="12"/>
      <c r="I565" s="4" t="s">
        <v>90</v>
      </c>
    </row>
    <row r="566" spans="1:8" ht="12.75" customHeight="1">
      <c r="A566" s="55"/>
      <c r="C566" s="32" t="s">
        <v>91</v>
      </c>
      <c r="D566" s="12" t="s">
        <v>83</v>
      </c>
      <c r="E566" s="4" t="s">
        <v>92</v>
      </c>
      <c r="F566" s="12"/>
      <c r="G566" s="4" t="s">
        <v>93</v>
      </c>
      <c r="H566" s="15"/>
    </row>
    <row r="567" ht="12.75" customHeight="1">
      <c r="A567" s="55"/>
    </row>
    <row r="568" spans="1:9" ht="12.75" customHeight="1">
      <c r="A568" s="59"/>
      <c r="B568" s="9"/>
      <c r="C568" s="9"/>
      <c r="D568" s="12"/>
      <c r="E568" s="9"/>
      <c r="F568" s="9"/>
      <c r="G568" s="9"/>
      <c r="H568" s="9"/>
      <c r="I568" s="9"/>
    </row>
    <row r="569" spans="1:9" ht="12.75" customHeight="1">
      <c r="A569" s="66"/>
      <c r="B569" s="7"/>
      <c r="C569" s="7"/>
      <c r="D569" s="67"/>
      <c r="E569" s="68" t="s">
        <v>94</v>
      </c>
      <c r="F569" s="7"/>
      <c r="G569" s="68" t="s">
        <v>95</v>
      </c>
      <c r="H569" s="7"/>
      <c r="I569" s="69" t="s">
        <v>96</v>
      </c>
    </row>
    <row r="570" spans="1:9" ht="12.75" customHeight="1">
      <c r="A570" s="70"/>
      <c r="B570" s="9" t="s">
        <v>97</v>
      </c>
      <c r="C570" s="9"/>
      <c r="D570" s="12"/>
      <c r="E570" s="71" t="s">
        <v>98</v>
      </c>
      <c r="F570" s="9"/>
      <c r="G570" s="71" t="s">
        <v>99</v>
      </c>
      <c r="H570" s="9"/>
      <c r="I570" s="72" t="s">
        <v>100</v>
      </c>
    </row>
    <row r="571" spans="1:9" ht="12.75" customHeight="1">
      <c r="A571" s="66"/>
      <c r="E571" s="45"/>
      <c r="G571" s="45"/>
      <c r="I571" s="73"/>
    </row>
    <row r="572" spans="1:9" ht="12.75" customHeight="1">
      <c r="A572" s="74" t="s">
        <v>47</v>
      </c>
      <c r="B572" s="75"/>
      <c r="E572" s="45"/>
      <c r="G572" s="45"/>
      <c r="I572" s="73"/>
    </row>
    <row r="573" spans="1:9" ht="12.75" customHeight="1">
      <c r="A573" s="66"/>
      <c r="B573" s="4" t="str">
        <f>IF(AND(ISBLANK('[1]Demand'!Y2938),'[1]Demand'!T2938&gt;0),'[1]Demand'!T2938," ")</f>
        <v> </v>
      </c>
      <c r="C573" s="15" t="str">
        <f>IF(AND(ISBLANK('[1]Demand'!Y2938),'[1]Demand'!S2938&gt;0),'[1]Demand'!S2938," ")</f>
        <v> </v>
      </c>
      <c r="D573" s="15" t="str">
        <f>IF(AND(E573&gt;0,'[1]Demand'!AB2937="Y"),"*"," ")</f>
        <v> </v>
      </c>
      <c r="E573" s="76" t="str">
        <f>IF(AND(ISBLANK('[1]Demand'!Y2938),'[1]Demand'!U2938&gt;0),'[1]Demand'!U2938," ")</f>
        <v> </v>
      </c>
      <c r="F573" s="46"/>
      <c r="G573" s="77" t="str">
        <f>IF(AND(ISBLANK('[1]Demand'!Y2938),'[1]Demand'!V2938&gt;0),'[1]Demand'!V2938," ")</f>
        <v> </v>
      </c>
      <c r="H573" s="46"/>
      <c r="I573" s="78" t="str">
        <f>IF(AND(ISBLANK('[1]Demand'!Y2938),'[1]Demand'!W2938&gt;0),'[1]Demand'!W2938," ")</f>
        <v> </v>
      </c>
    </row>
    <row r="574" spans="1:9" ht="12.75" customHeight="1">
      <c r="A574" s="79"/>
      <c r="C574" s="15"/>
      <c r="E574" s="90"/>
      <c r="G574" s="66"/>
      <c r="I574" s="57"/>
    </row>
    <row r="575" spans="1:9" ht="12.75" customHeight="1">
      <c r="A575" s="66"/>
      <c r="C575" s="15"/>
      <c r="E575" s="90"/>
      <c r="G575" s="66"/>
      <c r="I575" s="57"/>
    </row>
    <row r="576" spans="1:9" ht="12.75" customHeight="1">
      <c r="A576" s="66"/>
      <c r="C576" s="15"/>
      <c r="E576" s="90"/>
      <c r="G576" s="66"/>
      <c r="I576" s="57"/>
    </row>
    <row r="577" spans="1:9" ht="12.75" customHeight="1">
      <c r="A577" s="66"/>
      <c r="C577" s="15"/>
      <c r="E577" s="90"/>
      <c r="G577" s="66"/>
      <c r="I577" s="57"/>
    </row>
    <row r="578" spans="1:9" ht="12.75" customHeight="1">
      <c r="A578" s="66"/>
      <c r="C578" s="15"/>
      <c r="E578" s="90"/>
      <c r="G578" s="66"/>
      <c r="I578" s="57"/>
    </row>
    <row r="579" spans="1:9" ht="12.75" customHeight="1">
      <c r="A579" s="66"/>
      <c r="C579" s="15"/>
      <c r="E579" s="90"/>
      <c r="G579" s="66"/>
      <c r="I579" s="57"/>
    </row>
    <row r="580" spans="1:9" ht="12.75" customHeight="1">
      <c r="A580" s="66"/>
      <c r="C580" s="15"/>
      <c r="E580" s="90"/>
      <c r="G580" s="66"/>
      <c r="I580" s="57"/>
    </row>
    <row r="581" spans="1:9" ht="12.75" customHeight="1">
      <c r="A581" s="66"/>
      <c r="C581" s="15"/>
      <c r="E581" s="90"/>
      <c r="G581" s="66"/>
      <c r="I581" s="92"/>
    </row>
    <row r="582" spans="1:9" ht="12.75" customHeight="1" thickBot="1">
      <c r="A582" s="89" t="s">
        <v>117</v>
      </c>
      <c r="B582" s="86"/>
      <c r="C582" s="86"/>
      <c r="D582" s="94"/>
      <c r="E582" s="95"/>
      <c r="F582" s="86"/>
      <c r="G582" s="89"/>
      <c r="H582" s="86"/>
      <c r="I582" s="58">
        <f>SUM(I573:I581)</f>
        <v>0</v>
      </c>
    </row>
    <row r="583" spans="1:9" ht="12.75" customHeight="1">
      <c r="A583" s="66"/>
      <c r="E583" s="90"/>
      <c r="G583" s="66"/>
      <c r="I583" s="57"/>
    </row>
    <row r="584" spans="1:9" ht="12.75" customHeight="1">
      <c r="A584" s="91" t="s">
        <v>48</v>
      </c>
      <c r="B584" s="75"/>
      <c r="E584" s="90"/>
      <c r="G584" s="66"/>
      <c r="I584" s="73"/>
    </row>
    <row r="585" spans="1:9" ht="12.75" customHeight="1">
      <c r="A585" s="66"/>
      <c r="B585" s="4" t="s">
        <v>48</v>
      </c>
      <c r="D585" s="15" t="str">
        <f>IF(AND(E585&gt;0,'[1]Instruct &amp; Input'!$Z$34="Y"),"*"," ")</f>
        <v>*</v>
      </c>
      <c r="E585" s="90">
        <f>'[1]Instruct &amp; Input'!Y32</f>
        <v>4.86</v>
      </c>
      <c r="G585" s="66">
        <f>'[1]Estimates'!E38</f>
        <v>0</v>
      </c>
      <c r="I585" s="57">
        <f>ROUND(G585*E585,0)</f>
        <v>0</v>
      </c>
    </row>
    <row r="586" spans="1:9" ht="12.75" customHeight="1">
      <c r="A586" s="79"/>
      <c r="B586" s="4" t="s">
        <v>102</v>
      </c>
      <c r="C586" s="4" t="s">
        <v>103</v>
      </c>
      <c r="D586" s="15" t="str">
        <f>IF(AND(E586&gt;0,'[1]Instruct &amp; Input'!$Z$34="Y"),"*"," ")</f>
        <v> </v>
      </c>
      <c r="E586" s="90"/>
      <c r="G586" s="66"/>
      <c r="I586" s="92">
        <f>ROUND(G586*E586,0)</f>
        <v>0</v>
      </c>
    </row>
    <row r="587" spans="1:9" ht="12.75" customHeight="1" thickBot="1">
      <c r="A587" s="93" t="s">
        <v>104</v>
      </c>
      <c r="B587" s="86"/>
      <c r="C587" s="86"/>
      <c r="D587" s="94"/>
      <c r="E587" s="95"/>
      <c r="F587" s="86"/>
      <c r="G587" s="89"/>
      <c r="H587" s="86"/>
      <c r="I587" s="58">
        <f>SUM(I585:I586)</f>
        <v>0</v>
      </c>
    </row>
    <row r="588" spans="1:9" ht="12.75" customHeight="1">
      <c r="A588" s="45"/>
      <c r="E588" s="90"/>
      <c r="G588" s="66"/>
      <c r="I588" s="73"/>
    </row>
    <row r="589" spans="1:9" ht="12.75" customHeight="1">
      <c r="A589" s="96" t="s">
        <v>49</v>
      </c>
      <c r="B589" s="75"/>
      <c r="E589" s="90"/>
      <c r="G589" s="66"/>
      <c r="I589" s="73"/>
    </row>
    <row r="590" spans="1:9" ht="12.75" customHeight="1">
      <c r="A590" s="66"/>
      <c r="B590" s="4" t="s">
        <v>118</v>
      </c>
      <c r="E590" s="90"/>
      <c r="G590" s="66"/>
      <c r="I590" s="57">
        <f>ROUND(G590*E590,0)</f>
        <v>0</v>
      </c>
    </row>
    <row r="591" spans="1:9" ht="12.75" customHeight="1">
      <c r="A591" s="66"/>
      <c r="B591" s="4" t="s">
        <v>119</v>
      </c>
      <c r="E591" s="90"/>
      <c r="G591" s="66"/>
      <c r="I591" s="92">
        <f>ROUND(G591*E591,0)</f>
        <v>0</v>
      </c>
    </row>
    <row r="592" spans="1:9" ht="12.75" customHeight="1" thickBot="1">
      <c r="A592" s="89" t="s">
        <v>106</v>
      </c>
      <c r="B592" s="86"/>
      <c r="C592" s="86"/>
      <c r="D592" s="94"/>
      <c r="E592" s="95"/>
      <c r="F592" s="86"/>
      <c r="G592" s="89"/>
      <c r="H592" s="86"/>
      <c r="I592" s="97">
        <f>SUM(I590:I591)</f>
        <v>0</v>
      </c>
    </row>
    <row r="593" spans="1:9" ht="12.75" customHeight="1">
      <c r="A593" s="55"/>
      <c r="E593" s="98"/>
      <c r="G593" s="55"/>
      <c r="I593" s="73"/>
    </row>
    <row r="594" spans="1:9" ht="12.75" customHeight="1" thickBot="1">
      <c r="A594" s="4" t="s">
        <v>107</v>
      </c>
      <c r="E594" s="98"/>
      <c r="G594" s="55"/>
      <c r="I594" s="58">
        <f>SUM(I573:I592)/2</f>
        <v>0</v>
      </c>
    </row>
    <row r="595" spans="5:7" ht="12.75" customHeight="1">
      <c r="E595" s="98"/>
      <c r="G595" s="55"/>
    </row>
    <row r="596" ht="12.75" customHeight="1">
      <c r="G596" s="55"/>
    </row>
    <row r="597" spans="1:7" ht="12.75" customHeight="1">
      <c r="A597" s="101"/>
      <c r="B597" s="32" t="s">
        <v>108</v>
      </c>
      <c r="C597" s="4" t="s">
        <v>109</v>
      </c>
      <c r="G597" s="55"/>
    </row>
    <row r="598" spans="1:7" ht="12.75" customHeight="1">
      <c r="A598" s="55"/>
      <c r="C598" s="4" t="s">
        <v>110</v>
      </c>
      <c r="G598" s="55"/>
    </row>
    <row r="599" spans="1:7" ht="12.75" customHeight="1">
      <c r="A599" s="55"/>
      <c r="C599" s="4" t="s">
        <v>111</v>
      </c>
      <c r="G599" s="55"/>
    </row>
    <row r="600" spans="3:7" ht="12.75" customHeight="1">
      <c r="C600" s="4" t="s">
        <v>112</v>
      </c>
      <c r="G600" s="55"/>
    </row>
    <row r="601" ht="12.75" customHeight="1">
      <c r="G601" s="55"/>
    </row>
    <row r="602" spans="1:9" ht="12.75" customHeight="1">
      <c r="A602" s="32"/>
      <c r="I602" s="32" t="s">
        <v>75</v>
      </c>
    </row>
    <row r="603" spans="1:9" ht="12.75" customHeight="1">
      <c r="A603" s="32"/>
      <c r="I603" s="32" t="str">
        <f>IF('[1]Scratch Pad'!C16="N","Page "&amp;'[1]Scratch Pad'!D16&amp;" of 6","MISCELLANEOUS")</f>
        <v>Page 6 of 6</v>
      </c>
    </row>
    <row r="604" spans="1:9" ht="12.75" customHeight="1">
      <c r="A604" s="2" t="s">
        <v>0</v>
      </c>
      <c r="B604" s="2"/>
      <c r="C604" s="2"/>
      <c r="D604" s="2"/>
      <c r="E604" s="2"/>
      <c r="F604" s="2"/>
      <c r="G604" s="2"/>
      <c r="H604" s="2"/>
      <c r="I604" s="2"/>
    </row>
    <row r="605" spans="1:9" ht="12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 customHeight="1">
      <c r="A606" s="33" t="s">
        <v>1</v>
      </c>
      <c r="B606" s="2"/>
      <c r="C606" s="2"/>
      <c r="D606" s="2"/>
      <c r="E606" s="2"/>
      <c r="F606" s="2"/>
      <c r="G606" s="2"/>
      <c r="H606" s="2"/>
      <c r="I606" s="2"/>
    </row>
    <row r="607" spans="1:9" ht="12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 customHeight="1">
      <c r="A608" s="2" t="s">
        <v>76</v>
      </c>
      <c r="B608" s="2"/>
      <c r="C608" s="2"/>
      <c r="D608" s="2"/>
      <c r="E608" s="2"/>
      <c r="F608" s="2"/>
      <c r="G608" s="2"/>
      <c r="H608" s="2"/>
      <c r="I608" s="2"/>
    </row>
    <row r="610" spans="3:6" ht="12.75" customHeight="1">
      <c r="C610" s="32" t="s">
        <v>42</v>
      </c>
      <c r="D610" s="12"/>
      <c r="E610" s="62" t="str">
        <f>$E$9</f>
        <v>April 29, 2009</v>
      </c>
      <c r="F610" s="4" t="s">
        <v>43</v>
      </c>
    </row>
    <row r="611" spans="3:5" ht="12.75" customHeight="1">
      <c r="C611" s="32" t="s">
        <v>44</v>
      </c>
      <c r="D611" s="12"/>
      <c r="E611" s="62" t="str">
        <f>E$10</f>
        <v>April 30, 2010</v>
      </c>
    </row>
    <row r="613" spans="1:9" ht="12.75" customHeight="1">
      <c r="A613" s="46"/>
      <c r="C613" s="32" t="s">
        <v>77</v>
      </c>
      <c r="D613" s="12"/>
      <c r="E613" s="63" t="s">
        <v>129</v>
      </c>
      <c r="F613" s="8"/>
      <c r="G613" s="8"/>
      <c r="H613" s="8"/>
      <c r="I613" s="8"/>
    </row>
    <row r="614" spans="1:9" ht="12.75" customHeight="1">
      <c r="A614" s="64"/>
      <c r="C614" s="32" t="s">
        <v>78</v>
      </c>
      <c r="D614" s="12"/>
      <c r="E614" s="63" t="s">
        <v>123</v>
      </c>
      <c r="F614" s="8"/>
      <c r="G614" s="8"/>
      <c r="H614" s="8"/>
      <c r="I614" s="8"/>
    </row>
    <row r="615" spans="3:9" ht="12.75" customHeight="1">
      <c r="C615" s="32" t="s">
        <v>80</v>
      </c>
      <c r="D615" s="12"/>
      <c r="E615" s="62" t="str">
        <f>IF(ISBLANK('[1]Demand'!Z2939)," ",'[1]Demand'!Z2939)</f>
        <v>Per Contract</v>
      </c>
      <c r="H615" s="32" t="s">
        <v>81</v>
      </c>
      <c r="I615" s="62" t="str">
        <f>IF(ISBLANK('[1]Demand'!AA2938)," ",'[1]Demand'!AA2938)</f>
        <v> </v>
      </c>
    </row>
    <row r="617" spans="1:9" ht="12.75" customHeight="1">
      <c r="A617" s="55"/>
      <c r="C617" s="32" t="s">
        <v>82</v>
      </c>
      <c r="D617" s="12" t="s">
        <v>83</v>
      </c>
      <c r="E617" s="4" t="s">
        <v>84</v>
      </c>
      <c r="F617" s="12"/>
      <c r="G617" s="4" t="s">
        <v>85</v>
      </c>
      <c r="H617" s="12"/>
      <c r="I617" s="4" t="s">
        <v>86</v>
      </c>
    </row>
    <row r="618" spans="1:9" ht="12.75" customHeight="1">
      <c r="A618" s="55"/>
      <c r="C618" s="32" t="s">
        <v>87</v>
      </c>
      <c r="D618" s="12"/>
      <c r="E618" s="4" t="s">
        <v>88</v>
      </c>
      <c r="F618" s="12" t="s">
        <v>83</v>
      </c>
      <c r="G618" s="4" t="s">
        <v>89</v>
      </c>
      <c r="H618" s="12"/>
      <c r="I618" s="4" t="s">
        <v>90</v>
      </c>
    </row>
    <row r="619" spans="1:8" ht="12.75" customHeight="1">
      <c r="A619" s="55"/>
      <c r="C619" s="32" t="s">
        <v>91</v>
      </c>
      <c r="D619" s="12" t="s">
        <v>83</v>
      </c>
      <c r="E619" s="4" t="s">
        <v>92</v>
      </c>
      <c r="F619" s="12"/>
      <c r="G619" s="4" t="s">
        <v>93</v>
      </c>
      <c r="H619" s="15"/>
    </row>
    <row r="620" ht="12.75" customHeight="1">
      <c r="A620" s="55"/>
    </row>
    <row r="621" spans="1:9" ht="12.75" customHeight="1">
      <c r="A621" s="59"/>
      <c r="B621" s="9"/>
      <c r="C621" s="9"/>
      <c r="D621" s="12"/>
      <c r="E621" s="9"/>
      <c r="F621" s="9"/>
      <c r="G621" s="9"/>
      <c r="H621" s="9"/>
      <c r="I621" s="9"/>
    </row>
    <row r="622" spans="1:9" ht="12.75" customHeight="1">
      <c r="A622" s="66"/>
      <c r="B622" s="7"/>
      <c r="C622" s="7"/>
      <c r="D622" s="67"/>
      <c r="E622" s="68" t="s">
        <v>94</v>
      </c>
      <c r="F622" s="7"/>
      <c r="G622" s="68" t="s">
        <v>95</v>
      </c>
      <c r="H622" s="7"/>
      <c r="I622" s="69" t="s">
        <v>96</v>
      </c>
    </row>
    <row r="623" spans="1:9" ht="12.75" customHeight="1">
      <c r="A623" s="70"/>
      <c r="B623" s="9" t="s">
        <v>97</v>
      </c>
      <c r="C623" s="9"/>
      <c r="D623" s="12"/>
      <c r="E623" s="71" t="s">
        <v>98</v>
      </c>
      <c r="F623" s="9"/>
      <c r="G623" s="71" t="s">
        <v>99</v>
      </c>
      <c r="H623" s="9"/>
      <c r="I623" s="72" t="s">
        <v>100</v>
      </c>
    </row>
    <row r="624" spans="1:9" ht="12.75" customHeight="1">
      <c r="A624" s="66"/>
      <c r="E624" s="45"/>
      <c r="G624" s="45"/>
      <c r="I624" s="73"/>
    </row>
    <row r="625" spans="1:9" ht="12.75" customHeight="1">
      <c r="A625" s="74" t="s">
        <v>47</v>
      </c>
      <c r="B625" s="75"/>
      <c r="E625" s="45"/>
      <c r="G625" s="45"/>
      <c r="I625" s="73"/>
    </row>
    <row r="626" spans="1:9" ht="12.75" customHeight="1">
      <c r="A626" s="66"/>
      <c r="B626" s="4" t="str">
        <f>IF(AND('[1]Demand'!Y2939="N/A",'[1]Demand'!T2939&gt;0),'[1]Demand'!T2939," ")</f>
        <v>Demand Charges</v>
      </c>
      <c r="C626" s="4" t="str">
        <f>IF(AND('[1]Demand'!Y2939="N/A",'[1]Demand'!S2939&gt;0),'[1]Demand'!S2939," ")</f>
        <v> </v>
      </c>
      <c r="D626" s="15" t="str">
        <f>IF(AND(E626&gt;0,'[1]Demand'!AB2938="Y"),"*"," ")</f>
        <v> </v>
      </c>
      <c r="E626" s="45" t="str">
        <f>IF(AND('[1]Demand'!Y2939="N/A",'[1]Demand'!U2939&gt;0),'[1]Demand'!U2939," ")</f>
        <v> </v>
      </c>
      <c r="F626" s="46"/>
      <c r="G626" s="45" t="str">
        <f>IF(AND('[1]Demand'!Y2939="N/A",'[1]Demand'!V2939&gt;0),'[1]Demand'!V2939," ")</f>
        <v> </v>
      </c>
      <c r="H626" s="46"/>
      <c r="I626" s="57">
        <f>IF(AND('[1]Demand'!Y2939="N/A",'[1]Demand'!W2939&gt;0),'[1]Demand'!W2939," ")</f>
        <v>16686534</v>
      </c>
    </row>
    <row r="627" spans="1:9" ht="12.75" customHeight="1">
      <c r="A627" s="79"/>
      <c r="C627" s="15"/>
      <c r="E627" s="90"/>
      <c r="G627" s="66"/>
      <c r="I627" s="57"/>
    </row>
    <row r="628" spans="1:9" ht="12.75" customHeight="1">
      <c r="A628" s="66"/>
      <c r="C628" s="15"/>
      <c r="E628" s="90"/>
      <c r="G628" s="66"/>
      <c r="I628" s="57"/>
    </row>
    <row r="629" spans="1:9" ht="12.75" customHeight="1">
      <c r="A629" s="66"/>
      <c r="C629" s="15"/>
      <c r="E629" s="90"/>
      <c r="G629" s="66"/>
      <c r="I629" s="57"/>
    </row>
    <row r="630" spans="1:9" ht="12.75" customHeight="1">
      <c r="A630" s="66"/>
      <c r="C630" s="15"/>
      <c r="E630" s="90"/>
      <c r="G630" s="66"/>
      <c r="I630" s="57"/>
    </row>
    <row r="631" spans="1:9" ht="12.75" customHeight="1">
      <c r="A631" s="66"/>
      <c r="C631" s="15"/>
      <c r="E631" s="90"/>
      <c r="G631" s="66"/>
      <c r="I631" s="57"/>
    </row>
    <row r="632" spans="1:9" ht="12.75" customHeight="1">
      <c r="A632" s="66"/>
      <c r="C632" s="15"/>
      <c r="E632" s="90"/>
      <c r="G632" s="66"/>
      <c r="I632" s="57"/>
    </row>
    <row r="633" spans="1:9" ht="12.75" customHeight="1">
      <c r="A633" s="66"/>
      <c r="C633" s="15"/>
      <c r="E633" s="90"/>
      <c r="G633" s="66"/>
      <c r="I633" s="57"/>
    </row>
    <row r="634" spans="1:9" ht="12.75" customHeight="1">
      <c r="A634" s="66"/>
      <c r="C634" s="15"/>
      <c r="E634" s="90"/>
      <c r="G634" s="66"/>
      <c r="I634" s="92"/>
    </row>
    <row r="635" spans="1:9" ht="12.75" customHeight="1" thickBot="1">
      <c r="A635" s="89" t="s">
        <v>117</v>
      </c>
      <c r="B635" s="86"/>
      <c r="C635" s="86"/>
      <c r="D635" s="94"/>
      <c r="E635" s="95"/>
      <c r="F635" s="86"/>
      <c r="G635" s="89"/>
      <c r="H635" s="86"/>
      <c r="I635" s="58">
        <f>SUM(I626:I634)</f>
        <v>16686534</v>
      </c>
    </row>
    <row r="636" spans="1:9" ht="12.75" customHeight="1">
      <c r="A636" s="66"/>
      <c r="E636" s="90"/>
      <c r="G636" s="66"/>
      <c r="I636" s="57"/>
    </row>
    <row r="637" spans="1:9" ht="12.75" customHeight="1">
      <c r="A637" s="91" t="s">
        <v>48</v>
      </c>
      <c r="B637" s="75"/>
      <c r="E637" s="90"/>
      <c r="G637" s="66"/>
      <c r="I637" s="73"/>
    </row>
    <row r="638" spans="1:9" ht="12.75" customHeight="1">
      <c r="A638" s="66"/>
      <c r="B638" s="4" t="s">
        <v>48</v>
      </c>
      <c r="D638" s="15" t="str">
        <f>IF(AND(E638&gt;0,'[1]Instruct &amp; Input'!$Z$34="Y"),"*"," ")</f>
        <v> </v>
      </c>
      <c r="E638" s="90"/>
      <c r="G638" s="66"/>
      <c r="I638" s="57">
        <f>ROUND(G638*E638,0)</f>
        <v>0</v>
      </c>
    </row>
    <row r="639" spans="1:9" ht="12.75" customHeight="1">
      <c r="A639" s="79"/>
      <c r="B639" s="4" t="s">
        <v>102</v>
      </c>
      <c r="C639" s="4" t="s">
        <v>103</v>
      </c>
      <c r="D639" s="15" t="str">
        <f>IF(AND(E639&gt;0,'[1]Instruct &amp; Input'!$Z$34="Y"),"*"," ")</f>
        <v> </v>
      </c>
      <c r="E639" s="90"/>
      <c r="G639" s="66"/>
      <c r="I639" s="92">
        <f>ROUND(G639*E639,0)</f>
        <v>0</v>
      </c>
    </row>
    <row r="640" spans="1:9" ht="12.75" customHeight="1" thickBot="1">
      <c r="A640" s="93" t="s">
        <v>104</v>
      </c>
      <c r="B640" s="86"/>
      <c r="C640" s="86"/>
      <c r="D640" s="94"/>
      <c r="E640" s="95"/>
      <c r="F640" s="86"/>
      <c r="G640" s="89"/>
      <c r="H640" s="86"/>
      <c r="I640" s="58">
        <f>SUM(I638:I639)</f>
        <v>0</v>
      </c>
    </row>
    <row r="641" spans="1:9" ht="12.75" customHeight="1">
      <c r="A641" s="45"/>
      <c r="E641" s="90"/>
      <c r="G641" s="66"/>
      <c r="I641" s="73"/>
    </row>
    <row r="642" spans="1:9" ht="12.75" customHeight="1">
      <c r="A642" s="96" t="s">
        <v>49</v>
      </c>
      <c r="B642" s="75"/>
      <c r="E642" s="90"/>
      <c r="G642" s="66"/>
      <c r="I642" s="73"/>
    </row>
    <row r="643" spans="1:9" ht="12.75" customHeight="1">
      <c r="A643" s="66"/>
      <c r="B643" s="4" t="s">
        <v>118</v>
      </c>
      <c r="E643" s="90"/>
      <c r="G643" s="66"/>
      <c r="I643" s="57">
        <f>ROUND(G643*E643,0)</f>
        <v>0</v>
      </c>
    </row>
    <row r="644" spans="1:9" ht="12.75" customHeight="1">
      <c r="A644" s="66"/>
      <c r="B644" s="4" t="s">
        <v>119</v>
      </c>
      <c r="E644" s="90"/>
      <c r="G644" s="66"/>
      <c r="I644" s="92">
        <f>ROUND(G644*E644,0)</f>
        <v>0</v>
      </c>
    </row>
    <row r="645" spans="1:9" ht="12.75" customHeight="1" thickBot="1">
      <c r="A645" s="89" t="s">
        <v>106</v>
      </c>
      <c r="B645" s="86"/>
      <c r="C645" s="86"/>
      <c r="D645" s="94"/>
      <c r="E645" s="95"/>
      <c r="F645" s="86"/>
      <c r="G645" s="89"/>
      <c r="H645" s="86"/>
      <c r="I645" s="97">
        <f>SUM(I643:I644)</f>
        <v>0</v>
      </c>
    </row>
    <row r="646" spans="1:9" ht="12.75" customHeight="1">
      <c r="A646" s="55"/>
      <c r="E646" s="98"/>
      <c r="G646" s="55"/>
      <c r="I646" s="73"/>
    </row>
    <row r="647" spans="1:9" ht="12.75" customHeight="1" thickBot="1">
      <c r="A647" s="4" t="s">
        <v>107</v>
      </c>
      <c r="E647" s="98"/>
      <c r="G647" s="55"/>
      <c r="I647" s="58">
        <f>SUM(I626:I645)/2</f>
        <v>16686534</v>
      </c>
    </row>
    <row r="648" spans="5:7" ht="12.75" customHeight="1">
      <c r="E648" s="98"/>
      <c r="G648" s="55"/>
    </row>
    <row r="649" ht="12.75" customHeight="1">
      <c r="G649" s="55"/>
    </row>
    <row r="650" spans="1:7" ht="12.75" customHeight="1">
      <c r="A650" s="101"/>
      <c r="B650" s="32" t="s">
        <v>108</v>
      </c>
      <c r="C650" s="4" t="s">
        <v>109</v>
      </c>
      <c r="G650" s="55"/>
    </row>
    <row r="651" spans="1:7" ht="12.75" customHeight="1">
      <c r="A651" s="55"/>
      <c r="C651" s="4" t="s">
        <v>110</v>
      </c>
      <c r="G651" s="55"/>
    </row>
    <row r="652" spans="1:7" ht="12.75" customHeight="1">
      <c r="A652" s="55"/>
      <c r="C652" s="4" t="s">
        <v>111</v>
      </c>
      <c r="G652" s="55"/>
    </row>
    <row r="653" spans="3:7" ht="12.75" customHeight="1">
      <c r="C653" s="4" t="s">
        <v>112</v>
      </c>
      <c r="G653" s="55"/>
    </row>
  </sheetData>
  <printOptions horizontalCentered="1"/>
  <pageMargins left="0.5" right="0.5" top="0.75" bottom="0.5" header="0.5" footer="0.5"/>
  <pageSetup horizontalDpi="300" verticalDpi="300" orientation="portrait" r:id="rId1"/>
  <rowBreaks count="12" manualBreakCount="12">
    <brk id="53" max="255" man="1"/>
    <brk id="90" max="255" man="1"/>
    <brk id="143" max="255" man="1"/>
    <brk id="198" max="255" man="1"/>
    <brk id="230" max="255" man="1"/>
    <brk id="283" max="255" man="1"/>
    <brk id="336" max="255" man="1"/>
    <brk id="389" max="255" man="1"/>
    <brk id="442" max="255" man="1"/>
    <brk id="495" max="255" man="1"/>
    <brk id="548" max="255" man="1"/>
    <brk id="6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46"/>
  <sheetViews>
    <sheetView workbookViewId="0" topLeftCell="A19">
      <selection activeCell="B28" sqref="B28"/>
    </sheetView>
  </sheetViews>
  <sheetFormatPr defaultColWidth="9.140625" defaultRowHeight="12.75" customHeight="1"/>
  <cols>
    <col min="1" max="1" width="6.00390625" style="4" customWidth="1"/>
    <col min="2" max="2" width="34.57421875" style="4" customWidth="1"/>
    <col min="3" max="3" width="12.8515625" style="4" customWidth="1"/>
    <col min="4" max="4" width="17.140625" style="4" customWidth="1"/>
    <col min="5" max="5" width="12.8515625" style="4" customWidth="1"/>
    <col min="6" max="16384" width="9.140625" style="4" customWidth="1"/>
  </cols>
  <sheetData>
    <row r="1" ht="12.75" customHeight="1">
      <c r="E1" s="4" t="s">
        <v>130</v>
      </c>
    </row>
    <row r="3" spans="2:5" ht="12.75" customHeight="1">
      <c r="B3" s="2" t="s">
        <v>0</v>
      </c>
      <c r="C3" s="2"/>
      <c r="D3" s="2"/>
      <c r="E3" s="2"/>
    </row>
    <row r="4" spans="2:5" ht="12.75" customHeight="1">
      <c r="B4" s="2"/>
      <c r="C4" s="2"/>
      <c r="D4" s="2"/>
      <c r="E4" s="2"/>
    </row>
    <row r="5" spans="2:5" ht="12.75" customHeight="1">
      <c r="B5" s="33" t="s">
        <v>1</v>
      </c>
      <c r="C5" s="2"/>
      <c r="D5" s="2"/>
      <c r="E5" s="2"/>
    </row>
    <row r="6" spans="2:5" ht="12.75" customHeight="1">
      <c r="B6" s="2"/>
      <c r="C6" s="2"/>
      <c r="D6" s="2"/>
      <c r="E6" s="2"/>
    </row>
    <row r="7" spans="2:5" ht="12.75" customHeight="1">
      <c r="B7" s="2" t="s">
        <v>131</v>
      </c>
      <c r="C7" s="2"/>
      <c r="D7" s="2"/>
      <c r="E7" s="2"/>
    </row>
    <row r="9" spans="3:5" ht="12.75" customHeight="1">
      <c r="C9" s="32" t="s">
        <v>42</v>
      </c>
      <c r="D9" s="62" t="str">
        <f>'[1]Instruct &amp; Input'!C7</f>
        <v>April 29, 2009</v>
      </c>
      <c r="E9" s="4" t="s">
        <v>43</v>
      </c>
    </row>
    <row r="10" spans="3:4" ht="12.75" customHeight="1">
      <c r="C10" s="32" t="s">
        <v>44</v>
      </c>
      <c r="D10" s="62" t="str">
        <f>'[1]Instruct &amp; Input'!C8</f>
        <v>April 30, 2010</v>
      </c>
    </row>
    <row r="11" spans="1:5" ht="12.75" customHeight="1">
      <c r="A11" s="8"/>
      <c r="C11" s="35"/>
      <c r="D11" s="8"/>
      <c r="E11" s="8"/>
    </row>
    <row r="12" spans="1:5" ht="12.75" customHeight="1">
      <c r="A12" s="45"/>
      <c r="B12" s="38"/>
      <c r="C12" s="80" t="s">
        <v>5</v>
      </c>
      <c r="D12" s="80" t="s">
        <v>132</v>
      </c>
      <c r="E12" s="80" t="s">
        <v>96</v>
      </c>
    </row>
    <row r="13" spans="1:5" ht="12.75" customHeight="1">
      <c r="A13" s="45"/>
      <c r="B13" s="42"/>
      <c r="C13" s="80" t="s">
        <v>133</v>
      </c>
      <c r="D13" s="80" t="s">
        <v>134</v>
      </c>
      <c r="E13" s="80" t="s">
        <v>100</v>
      </c>
    </row>
    <row r="14" spans="1:5" ht="12.75" customHeight="1">
      <c r="A14" s="118"/>
      <c r="B14" s="39"/>
      <c r="C14" s="41" t="s">
        <v>135</v>
      </c>
      <c r="D14" s="41" t="s">
        <v>99</v>
      </c>
      <c r="E14" s="41" t="s">
        <v>136</v>
      </c>
    </row>
    <row r="15" spans="1:5" ht="12.75" customHeight="1">
      <c r="A15" s="45"/>
      <c r="B15" s="42"/>
      <c r="C15" s="42"/>
      <c r="D15" s="42"/>
      <c r="E15" s="42"/>
    </row>
    <row r="16" spans="1:5" ht="12.75" customHeight="1">
      <c r="A16" s="43" t="s">
        <v>137</v>
      </c>
      <c r="B16" s="42"/>
      <c r="C16" s="42"/>
      <c r="D16" s="42"/>
      <c r="E16" s="42"/>
    </row>
    <row r="17" spans="1:5" ht="12.75" customHeight="1">
      <c r="A17" s="45"/>
      <c r="B17" s="42"/>
      <c r="C17" s="42"/>
      <c r="D17" s="42"/>
      <c r="E17" s="42"/>
    </row>
    <row r="18" spans="1:5" ht="12.75" customHeight="1">
      <c r="A18" s="45"/>
      <c r="B18" s="42"/>
      <c r="C18" s="42"/>
      <c r="D18" s="42"/>
      <c r="E18" s="42"/>
    </row>
    <row r="19" spans="1:5" ht="12.75" customHeight="1">
      <c r="A19" s="45"/>
      <c r="B19" s="42"/>
      <c r="C19" s="42"/>
      <c r="D19" s="42"/>
      <c r="E19" s="42"/>
    </row>
    <row r="20" spans="1:5" ht="12.75" customHeight="1">
      <c r="A20" s="45"/>
      <c r="B20" s="42"/>
      <c r="C20" s="42"/>
      <c r="D20" s="42"/>
      <c r="E20" s="42"/>
    </row>
    <row r="21" spans="1:5" ht="12.75" customHeight="1">
      <c r="A21" s="40"/>
      <c r="B21" s="83"/>
      <c r="C21" s="83"/>
      <c r="D21" s="83"/>
      <c r="E21" s="83"/>
    </row>
    <row r="22" spans="1:5" ht="12.75" customHeight="1" thickBot="1">
      <c r="A22" s="119"/>
      <c r="B22" s="120" t="s">
        <v>138</v>
      </c>
      <c r="C22" s="120"/>
      <c r="D22" s="120"/>
      <c r="E22" s="120"/>
    </row>
    <row r="23" spans="1:5" ht="12.75" customHeight="1">
      <c r="A23" s="45"/>
      <c r="B23" s="42"/>
      <c r="C23" s="42"/>
      <c r="D23" s="42"/>
      <c r="E23" s="42"/>
    </row>
    <row r="24" spans="1:5" ht="12.75" customHeight="1">
      <c r="A24" s="43" t="s">
        <v>139</v>
      </c>
      <c r="B24" s="42"/>
      <c r="C24" s="42"/>
      <c r="D24" s="42"/>
      <c r="E24" s="42"/>
    </row>
    <row r="25" spans="1:5" ht="12.75" customHeight="1">
      <c r="A25" s="45"/>
      <c r="B25" s="42" t="s">
        <v>140</v>
      </c>
      <c r="C25" s="121">
        <f>'[1]Instruct &amp; Input'!Y33</f>
        <v>4.78</v>
      </c>
      <c r="D25" s="122">
        <f>'[1]Volume Mix'!C45</f>
        <v>4270000</v>
      </c>
      <c r="E25" s="47">
        <f>ROUND(C25*D25,0)</f>
        <v>20410600</v>
      </c>
    </row>
    <row r="26" spans="1:5" ht="12.75" customHeight="1">
      <c r="A26" s="45"/>
      <c r="B26" s="42"/>
      <c r="C26" s="42"/>
      <c r="D26" s="42"/>
      <c r="E26" s="42"/>
    </row>
    <row r="27" spans="1:5" ht="12.75" customHeight="1">
      <c r="A27" s="45"/>
      <c r="B27" s="42"/>
      <c r="C27" s="42"/>
      <c r="D27" s="42"/>
      <c r="E27" s="42"/>
    </row>
    <row r="28" spans="1:5" ht="12.75" customHeight="1">
      <c r="A28" s="45"/>
      <c r="B28" s="42"/>
      <c r="C28" s="42"/>
      <c r="D28" s="42"/>
      <c r="E28" s="42"/>
    </row>
    <row r="29" spans="1:5" ht="12.75" customHeight="1">
      <c r="A29" s="40"/>
      <c r="B29" s="83"/>
      <c r="C29" s="83"/>
      <c r="D29" s="83"/>
      <c r="E29" s="83"/>
    </row>
    <row r="30" spans="1:5" ht="12.75" customHeight="1" thickBot="1">
      <c r="A30" s="119"/>
      <c r="B30" s="120" t="s">
        <v>141</v>
      </c>
      <c r="C30" s="120"/>
      <c r="D30" s="120"/>
      <c r="E30" s="123">
        <f>SUM(E25:E29)</f>
        <v>20410600</v>
      </c>
    </row>
    <row r="31" spans="1:5" ht="12.75" customHeight="1">
      <c r="A31" s="45"/>
      <c r="B31" s="42"/>
      <c r="C31" s="42"/>
      <c r="D31" s="42"/>
      <c r="E31" s="42"/>
    </row>
    <row r="32" spans="1:5" ht="12.75" customHeight="1">
      <c r="A32" s="43" t="s">
        <v>142</v>
      </c>
      <c r="B32" s="42"/>
      <c r="C32" s="42"/>
      <c r="D32" s="42"/>
      <c r="E32" s="42"/>
    </row>
    <row r="33" spans="1:5" ht="12.75" customHeight="1">
      <c r="A33" s="45"/>
      <c r="B33" s="42"/>
      <c r="C33" s="42"/>
      <c r="D33" s="42"/>
      <c r="E33" s="42"/>
    </row>
    <row r="34" spans="1:5" ht="12.75" customHeight="1">
      <c r="A34" s="45"/>
      <c r="B34" s="42"/>
      <c r="C34" s="42"/>
      <c r="D34" s="42"/>
      <c r="E34" s="42"/>
    </row>
    <row r="35" spans="1:5" ht="12.75" customHeight="1">
      <c r="A35" s="45"/>
      <c r="B35" s="42"/>
      <c r="C35" s="42"/>
      <c r="D35" s="42"/>
      <c r="E35" s="42"/>
    </row>
    <row r="36" spans="1:5" ht="12.75" customHeight="1">
      <c r="A36" s="45"/>
      <c r="B36" s="42"/>
      <c r="C36" s="42"/>
      <c r="D36" s="42"/>
      <c r="E36" s="42"/>
    </row>
    <row r="37" spans="1:5" ht="12.75" customHeight="1">
      <c r="A37" s="40"/>
      <c r="B37" s="83"/>
      <c r="C37" s="83"/>
      <c r="D37" s="83"/>
      <c r="E37" s="83"/>
    </row>
    <row r="38" spans="1:5" ht="12.75" customHeight="1" thickBot="1">
      <c r="A38" s="119"/>
      <c r="B38" s="120" t="s">
        <v>143</v>
      </c>
      <c r="C38" s="120"/>
      <c r="D38" s="120"/>
      <c r="E38" s="120"/>
    </row>
    <row r="39" spans="1:5" ht="12.75" customHeight="1">
      <c r="A39" s="45"/>
      <c r="B39" s="42"/>
      <c r="C39" s="42"/>
      <c r="D39" s="42"/>
      <c r="E39" s="42"/>
    </row>
    <row r="40" spans="1:5" ht="12.75" customHeight="1">
      <c r="A40" s="43" t="s">
        <v>144</v>
      </c>
      <c r="B40" s="42"/>
      <c r="C40" s="42"/>
      <c r="D40" s="42"/>
      <c r="E40" s="42"/>
    </row>
    <row r="41" spans="1:5" ht="12.75" customHeight="1">
      <c r="A41" s="45"/>
      <c r="B41" s="42" t="s">
        <v>145</v>
      </c>
      <c r="C41" s="121">
        <f>'[1]Instruct &amp; Input'!Y34</f>
        <v>3.59</v>
      </c>
      <c r="D41" s="122">
        <f>'[1]Volume Mix'!C46+'[1]Volume Mix'!C43</f>
        <v>46246000</v>
      </c>
      <c r="E41" s="47">
        <f>ROUND(C41*D41,0)</f>
        <v>166023140</v>
      </c>
    </row>
    <row r="42" spans="1:5" ht="12.75" customHeight="1">
      <c r="A42" s="45"/>
      <c r="B42" s="42"/>
      <c r="C42" s="42"/>
      <c r="D42" s="42"/>
      <c r="E42" s="42"/>
    </row>
    <row r="43" spans="1:5" ht="12.75" customHeight="1">
      <c r="A43" s="45"/>
      <c r="B43" s="42"/>
      <c r="C43" s="42"/>
      <c r="D43" s="42"/>
      <c r="E43" s="42"/>
    </row>
    <row r="44" spans="1:5" ht="12.75" customHeight="1">
      <c r="A44" s="45"/>
      <c r="B44" s="42"/>
      <c r="C44" s="42"/>
      <c r="D44" s="42"/>
      <c r="E44" s="42"/>
    </row>
    <row r="45" spans="1:5" ht="12.75" customHeight="1">
      <c r="A45" s="40"/>
      <c r="B45" s="83"/>
      <c r="C45" s="83"/>
      <c r="D45" s="83"/>
      <c r="E45" s="83"/>
    </row>
    <row r="46" spans="1:5" ht="12.75" customHeight="1" thickBot="1">
      <c r="A46" s="119"/>
      <c r="B46" s="120" t="s">
        <v>146</v>
      </c>
      <c r="C46" s="120"/>
      <c r="D46" s="120"/>
      <c r="E46" s="123">
        <f>SUM(E41:E45)</f>
        <v>166023140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F68"/>
  <sheetViews>
    <sheetView workbookViewId="0" topLeftCell="A1">
      <selection activeCell="B28" sqref="B28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15.140625" style="4" bestFit="1" customWidth="1"/>
    <col min="4" max="4" width="8.421875" style="15" customWidth="1"/>
    <col min="5" max="5" width="12.28125" style="4" customWidth="1"/>
    <col min="6" max="16384" width="9.140625" style="4" customWidth="1"/>
  </cols>
  <sheetData>
    <row r="1" ht="12.75" customHeight="1">
      <c r="E1" s="32" t="s">
        <v>147</v>
      </c>
    </row>
    <row r="2" spans="1:5" ht="12.75" customHeight="1">
      <c r="A2" s="1" t="s">
        <v>148</v>
      </c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5" t="s">
        <v>1</v>
      </c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s="124" customFormat="1" ht="12.75" customHeight="1">
      <c r="A6" s="1" t="s">
        <v>149</v>
      </c>
      <c r="B6" s="1"/>
      <c r="C6" s="1"/>
      <c r="D6" s="1"/>
      <c r="E6" s="1"/>
    </row>
    <row r="7" spans="1:5" s="124" customFormat="1" ht="12.75" customHeight="1">
      <c r="A7" s="1" t="s">
        <v>150</v>
      </c>
      <c r="B7" s="1"/>
      <c r="C7" s="1"/>
      <c r="D7" s="1"/>
      <c r="E7" s="1"/>
    </row>
    <row r="9" spans="2:3" ht="12.75" customHeight="1">
      <c r="B9" s="32" t="s">
        <v>151</v>
      </c>
      <c r="C9" s="125" t="str">
        <f>'[1]Instruct &amp; Input'!C8</f>
        <v>April 30, 2010</v>
      </c>
    </row>
    <row r="10" spans="1:5" ht="12.75" customHeight="1">
      <c r="A10" s="8"/>
      <c r="B10" s="8"/>
      <c r="C10" s="8"/>
      <c r="D10" s="12"/>
      <c r="E10" s="8"/>
    </row>
    <row r="11" spans="1:5" ht="12.75" customHeight="1">
      <c r="A11" s="40"/>
      <c r="B11" s="12" t="s">
        <v>3</v>
      </c>
      <c r="C11" s="8"/>
      <c r="D11" s="126" t="s">
        <v>152</v>
      </c>
      <c r="E11" s="126" t="s">
        <v>153</v>
      </c>
    </row>
    <row r="12" spans="1:5" ht="12.75" customHeight="1">
      <c r="A12" s="45"/>
      <c r="D12" s="80"/>
      <c r="E12" s="42"/>
    </row>
    <row r="13" spans="1:6" ht="12.75" customHeight="1">
      <c r="A13" s="45" t="s">
        <v>154</v>
      </c>
      <c r="C13" s="127" t="str">
        <f>'[1]Instruct &amp; Input'!C8</f>
        <v>April 30, 2010</v>
      </c>
      <c r="D13" s="80" t="s">
        <v>19</v>
      </c>
      <c r="E13" s="47">
        <f>('[1]Sales &amp; CHOICE Volumes'!B51)</f>
        <v>74496000</v>
      </c>
      <c r="F13" s="4" t="s">
        <v>155</v>
      </c>
    </row>
    <row r="14" spans="1:6" ht="12.75" customHeight="1">
      <c r="A14" s="45"/>
      <c r="D14" s="80"/>
      <c r="E14" s="42"/>
      <c r="F14" s="4" t="s">
        <v>156</v>
      </c>
    </row>
    <row r="15" spans="1:6" ht="12.75" customHeight="1">
      <c r="A15" s="45" t="s">
        <v>157</v>
      </c>
      <c r="C15" s="127" t="str">
        <f>'[1]Instruct &amp; Input'!C8</f>
        <v>April 30, 2010</v>
      </c>
      <c r="D15" s="80" t="s">
        <v>19</v>
      </c>
      <c r="E15" s="60">
        <f>E13</f>
        <v>74496000</v>
      </c>
      <c r="F15" s="4" t="s">
        <v>158</v>
      </c>
    </row>
    <row r="16" spans="1:6" ht="12.75" customHeight="1">
      <c r="A16" s="45"/>
      <c r="D16" s="80"/>
      <c r="E16" s="42"/>
      <c r="F16" s="4" t="s">
        <v>159</v>
      </c>
    </row>
    <row r="17" spans="1:5" ht="12.75" customHeight="1">
      <c r="A17" s="45" t="s">
        <v>160</v>
      </c>
      <c r="D17" s="80" t="s">
        <v>161</v>
      </c>
      <c r="E17" s="128">
        <f>ROUND(E15/E13,4)</f>
        <v>1</v>
      </c>
    </row>
    <row r="18" spans="1:5" ht="12.75" customHeight="1">
      <c r="A18" s="45"/>
      <c r="D18" s="80"/>
      <c r="E18" s="42"/>
    </row>
    <row r="19" spans="1:5" ht="12.75" customHeight="1">
      <c r="A19" s="45" t="s">
        <v>162</v>
      </c>
      <c r="D19" s="80" t="s">
        <v>17</v>
      </c>
      <c r="E19" s="60">
        <f>E64</f>
        <v>-257669.7</v>
      </c>
    </row>
    <row r="20" spans="1:5" ht="12.75" customHeight="1">
      <c r="A20" s="45"/>
      <c r="D20" s="80"/>
      <c r="E20" s="47"/>
    </row>
    <row r="21" spans="1:5" ht="12.75" customHeight="1">
      <c r="A21" s="45" t="s">
        <v>163</v>
      </c>
      <c r="D21" s="80" t="s">
        <v>17</v>
      </c>
      <c r="E21" s="47">
        <f>ROUND(E19*E17,0)</f>
        <v>-257670</v>
      </c>
    </row>
    <row r="22" spans="1:5" ht="12.75" customHeight="1">
      <c r="A22" s="45"/>
      <c r="D22" s="80"/>
      <c r="E22" s="47"/>
    </row>
    <row r="23" spans="1:5" ht="12.75" customHeight="1">
      <c r="A23" s="45" t="s">
        <v>164</v>
      </c>
      <c r="D23" s="80" t="s">
        <v>17</v>
      </c>
      <c r="E23" s="57">
        <v>0</v>
      </c>
    </row>
    <row r="24" spans="1:5" ht="12.75" customHeight="1">
      <c r="A24" s="45"/>
      <c r="D24" s="80"/>
      <c r="E24" s="47"/>
    </row>
    <row r="25" spans="1:5" ht="12.75" customHeight="1">
      <c r="A25" s="45" t="s">
        <v>165</v>
      </c>
      <c r="D25" s="80" t="s">
        <v>17</v>
      </c>
      <c r="E25" s="47">
        <f>SUM(E21:E23)</f>
        <v>-257670</v>
      </c>
    </row>
    <row r="26" spans="1:5" ht="12.75" customHeight="1">
      <c r="A26" s="45"/>
      <c r="D26" s="80"/>
      <c r="E26" s="42"/>
    </row>
    <row r="27" spans="1:5" ht="12.75" customHeight="1">
      <c r="A27" s="45" t="s">
        <v>166</v>
      </c>
      <c r="D27" s="80"/>
      <c r="E27" s="129">
        <f>'[1]Instruct &amp; Input'!R25</f>
        <v>1.055</v>
      </c>
    </row>
    <row r="28" spans="1:5" ht="12.75" customHeight="1">
      <c r="A28" s="45"/>
      <c r="D28" s="80"/>
      <c r="E28" s="42"/>
    </row>
    <row r="29" spans="1:5" ht="12.75" customHeight="1">
      <c r="A29" s="45" t="s">
        <v>167</v>
      </c>
      <c r="D29" s="80" t="s">
        <v>17</v>
      </c>
      <c r="E29" s="60">
        <f>ROUND(E25*E27,0)</f>
        <v>-271842</v>
      </c>
    </row>
    <row r="30" spans="1:5" ht="12.75" customHeight="1">
      <c r="A30" s="45"/>
      <c r="D30" s="80"/>
      <c r="E30" s="42"/>
    </row>
    <row r="31" spans="1:5" ht="12.75" customHeight="1">
      <c r="A31" s="45" t="s">
        <v>168</v>
      </c>
      <c r="C31" s="127" t="str">
        <f>'[1]Instruct &amp; Input'!C8</f>
        <v>April 30, 2010</v>
      </c>
      <c r="D31" s="80" t="s">
        <v>19</v>
      </c>
      <c r="E31" s="130">
        <f>E13</f>
        <v>74496000</v>
      </c>
    </row>
    <row r="32" spans="1:5" ht="12.75" customHeight="1">
      <c r="A32" s="45"/>
      <c r="D32" s="80"/>
      <c r="E32" s="42"/>
    </row>
    <row r="33" spans="1:5" ht="12.75" customHeight="1">
      <c r="A33" s="40" t="s">
        <v>169</v>
      </c>
      <c r="B33" s="8"/>
      <c r="C33" s="8"/>
      <c r="D33" s="126" t="s">
        <v>8</v>
      </c>
      <c r="E33" s="129">
        <f>ROUND(E29/E31,4)</f>
        <v>-0.0036</v>
      </c>
    </row>
    <row r="34" spans="4:6" ht="12.75" customHeight="1">
      <c r="D34" s="67"/>
      <c r="E34" s="46"/>
      <c r="F34" s="46"/>
    </row>
    <row r="35" spans="1:6" s="124" customFormat="1" ht="12.75" customHeight="1">
      <c r="A35" s="1" t="s">
        <v>170</v>
      </c>
      <c r="B35" s="1"/>
      <c r="C35" s="1"/>
      <c r="D35" s="131"/>
      <c r="E35" s="131"/>
      <c r="F35" s="132"/>
    </row>
    <row r="36" spans="4:6" ht="12.75" customHeight="1">
      <c r="D36" s="67"/>
      <c r="E36" s="46"/>
      <c r="F36" s="46"/>
    </row>
    <row r="37" spans="2:6" ht="12.75" customHeight="1">
      <c r="B37" s="32" t="s">
        <v>171</v>
      </c>
      <c r="D37" s="67"/>
      <c r="E37" s="46"/>
      <c r="F37" s="46"/>
    </row>
    <row r="38" spans="2:6" ht="12.75" customHeight="1">
      <c r="B38" s="32" t="s">
        <v>172</v>
      </c>
      <c r="C38" s="133">
        <f>'[1]Instruct &amp; Input'!E21</f>
        <v>39836</v>
      </c>
      <c r="D38" s="67"/>
      <c r="E38" s="46"/>
      <c r="F38" s="46"/>
    </row>
    <row r="39" spans="1:6" ht="12.75" customHeight="1">
      <c r="A39" s="8"/>
      <c r="B39" s="8"/>
      <c r="C39" s="8"/>
      <c r="D39" s="12"/>
      <c r="E39" s="8"/>
      <c r="F39" s="46"/>
    </row>
    <row r="40" spans="1:5" ht="12.75" customHeight="1">
      <c r="A40" s="40"/>
      <c r="B40" s="12" t="s">
        <v>3</v>
      </c>
      <c r="C40" s="8"/>
      <c r="D40" s="126"/>
      <c r="E40" s="126" t="s">
        <v>153</v>
      </c>
    </row>
    <row r="41" spans="1:5" ht="12.75" customHeight="1">
      <c r="A41" s="45"/>
      <c r="D41" s="80"/>
      <c r="E41" s="42"/>
    </row>
    <row r="42" spans="1:5" ht="12.75" customHeight="1">
      <c r="A42" s="45" t="s">
        <v>173</v>
      </c>
      <c r="D42" s="80"/>
      <c r="E42" s="47"/>
    </row>
    <row r="43" spans="1:5" ht="12.75" customHeight="1">
      <c r="A43" s="45"/>
      <c r="B43" s="47" t="str">
        <f>IF('[1]Instruct &amp; Input'!V4=0," ",'[1]Instruct &amp; Input'!V4)</f>
        <v> </v>
      </c>
      <c r="D43" s="80"/>
      <c r="E43" s="47" t="str">
        <f>IF('[1]Instruct &amp; Input'!Y4=0," ",'[1]Instruct &amp; Input'!Y4)</f>
        <v> </v>
      </c>
    </row>
    <row r="44" spans="1:5" ht="12.75" customHeight="1">
      <c r="A44" s="45"/>
      <c r="B44" s="47" t="str">
        <f>IF('[1]Instruct &amp; Input'!V5=0," ",'[1]Instruct &amp; Input'!V5)</f>
        <v>PANHANDLE EASTERN PIPELINE COMPANY</v>
      </c>
      <c r="D44" s="80"/>
      <c r="E44" s="47">
        <f>IF('[1]Instruct &amp; Input'!Y5=0," ",'[1]Instruct &amp; Input'!Y5)</f>
        <v>-185.60999999999996</v>
      </c>
    </row>
    <row r="45" spans="1:5" ht="12.75" customHeight="1">
      <c r="A45" s="45"/>
      <c r="B45" s="47" t="str">
        <f>IF('[1]Instruct &amp; Input'!V6=0," ",'[1]Instruct &amp; Input'!V6)</f>
        <v>PANHANDLE EASTERN PIPELINE COMPANY</v>
      </c>
      <c r="D45" s="80"/>
      <c r="E45" s="47">
        <f>IF('[1]Instruct &amp; Input'!Y6=0," ",'[1]Instruct &amp; Input'!Y6)</f>
        <v>-246.18000000000004</v>
      </c>
    </row>
    <row r="46" spans="1:5" ht="12.75" customHeight="1">
      <c r="A46" s="45"/>
      <c r="B46" s="47" t="str">
        <f>IF('[1]Instruct &amp; Input'!V7=0," ",'[1]Instruct &amp; Input'!V7)</f>
        <v>COLUMBIA GAS TRANSMISSION CORPORATION</v>
      </c>
      <c r="D46" s="80"/>
      <c r="E46" s="47">
        <f>IF('[1]Instruct &amp; Input'!Y7=0," ",'[1]Instruct &amp; Input'!Y7)</f>
        <v>-252310.2</v>
      </c>
    </row>
    <row r="47" spans="1:5" ht="12.75" customHeight="1">
      <c r="A47" s="45"/>
      <c r="B47" s="47" t="str">
        <f>IF('[1]Instruct &amp; Input'!V8=0," ",'[1]Instruct &amp; Input'!V8)</f>
        <v>COLUMBIA GULF TRANSMISSION COMPANY</v>
      </c>
      <c r="D47" s="80"/>
      <c r="E47" s="47">
        <f>IF('[1]Instruct &amp; Input'!Y8=0," ",'[1]Instruct &amp; Input'!Y8)</f>
        <v>-4618.02</v>
      </c>
    </row>
    <row r="48" spans="1:5" ht="12.75" customHeight="1">
      <c r="A48" s="45"/>
      <c r="B48" s="47" t="str">
        <f>IF('[1]Instruct &amp; Input'!V9=0," ",'[1]Instruct &amp; Input'!V9)</f>
        <v>PANHANDLE EASTERN PIPELINE COMPANY</v>
      </c>
      <c r="D48" s="80"/>
      <c r="E48" s="47">
        <f>IF('[1]Instruct &amp; Input'!Y9=0," ",'[1]Instruct &amp; Input'!Y9)</f>
        <v>-273.09</v>
      </c>
    </row>
    <row r="49" spans="1:5" ht="12.75" customHeight="1">
      <c r="A49" s="45"/>
      <c r="B49" s="47" t="str">
        <f>IF('[1]Instruct &amp; Input'!V10=0," ",'[1]Instruct &amp; Input'!V10)</f>
        <v>TRUNKLINE PIPELINE</v>
      </c>
      <c r="D49" s="80"/>
      <c r="E49" s="47">
        <f>IF('[1]Instruct &amp; Input'!Y10=0," ",'[1]Instruct &amp; Input'!Y10)</f>
        <v>-36.6</v>
      </c>
    </row>
    <row r="50" spans="1:5" ht="12.75" customHeight="1">
      <c r="A50" s="45"/>
      <c r="B50" s="47" t="str">
        <f>IF('[1]Instruct &amp; Input'!V11=0," ",'[1]Instruct &amp; Input'!V11)</f>
        <v>COLUMBIA GAS TRANSMISSION CORPORATION</v>
      </c>
      <c r="D50" s="80"/>
      <c r="E50" s="47" t="str">
        <f>IF('[1]Instruct &amp; Input'!Y11=0," ",'[1]Instruct &amp; Input'!Y11)</f>
        <v> </v>
      </c>
    </row>
    <row r="51" spans="1:5" ht="12.75" customHeight="1">
      <c r="A51" s="45"/>
      <c r="B51" s="47" t="str">
        <f>IF('[1]Instruct &amp; Input'!V12=0," ",'[1]Instruct &amp; Input'!V12)</f>
        <v>TRUNKLINE PIPELINE</v>
      </c>
      <c r="D51" s="80"/>
      <c r="E51" s="47" t="str">
        <f>IF('[1]Instruct &amp; Input'!Y12=0," ",'[1]Instruct &amp; Input'!Y12)</f>
        <v> </v>
      </c>
    </row>
    <row r="52" spans="1:5" ht="12.75" customHeight="1">
      <c r="A52" s="45"/>
      <c r="B52" s="47" t="str">
        <f>IF('[1]Instruct &amp; Input'!V13=0," ",'[1]Instruct &amp; Input'!V13)</f>
        <v>PANHANDLE EASTERN PIPELINE COMPANY</v>
      </c>
      <c r="D52" s="80"/>
      <c r="E52" s="47" t="str">
        <f>IF('[1]Instruct &amp; Input'!Y13=0," ",'[1]Instruct &amp; Input'!Y13)</f>
        <v> </v>
      </c>
    </row>
    <row r="53" spans="1:5" ht="12.75" customHeight="1">
      <c r="A53" s="45"/>
      <c r="B53" s="47" t="str">
        <f>IF('[1]Instruct &amp; Input'!V14=0," ",'[1]Instruct &amp; Input'!V14)</f>
        <v>PANHANDLE EASTERN PIPELINE COMPANY</v>
      </c>
      <c r="D53" s="80"/>
      <c r="E53" s="47" t="str">
        <f>IF('[1]Instruct &amp; Input'!Y14=0," ",'[1]Instruct &amp; Input'!Y14)</f>
        <v> </v>
      </c>
    </row>
    <row r="54" spans="1:5" ht="12.75" customHeight="1">
      <c r="A54" s="45"/>
      <c r="B54" s="47" t="str">
        <f>IF('[1]Instruct &amp; Input'!V15=0," ",'[1]Instruct &amp; Input'!V15)</f>
        <v>PANHANDLE EASTERN PIPELINE COMPANY</v>
      </c>
      <c r="D54" s="80"/>
      <c r="E54" s="47" t="str">
        <f>IF('[1]Instruct &amp; Input'!Y15=0," ",'[1]Instruct &amp; Input'!Y15)</f>
        <v> </v>
      </c>
    </row>
    <row r="55" spans="1:5" ht="12.75" customHeight="1">
      <c r="A55" s="45"/>
      <c r="B55" s="47" t="str">
        <f>IF('[1]Instruct &amp; Input'!V16=0," ",'[1]Instruct &amp; Input'!V16)</f>
        <v>PANHANDLE EASTERN PIPELINE COMPANY</v>
      </c>
      <c r="D55" s="80"/>
      <c r="E55" s="47" t="str">
        <f>IF('[1]Instruct &amp; Input'!Y16=0," ",'[1]Instruct &amp; Input'!Y16)</f>
        <v> </v>
      </c>
    </row>
    <row r="56" spans="1:5" ht="12.75" customHeight="1">
      <c r="A56" s="45"/>
      <c r="B56" s="47" t="str">
        <f>IF('[1]Instruct &amp; Input'!V17=0," ",'[1]Instruct &amp; Input'!V17)</f>
        <v>PANHANDLE EASTERN PIPELINE COMPANY</v>
      </c>
      <c r="D56" s="80"/>
      <c r="E56" s="47" t="str">
        <f>IF('[1]Instruct &amp; Input'!Y17=0," ",'[1]Instruct &amp; Input'!Y17)</f>
        <v> </v>
      </c>
    </row>
    <row r="57" spans="1:5" ht="12.75" customHeight="1">
      <c r="A57" s="45"/>
      <c r="B57" s="47" t="str">
        <f>IF('[1]Instruct &amp; Input'!V18=0," ",'[1]Instruct &amp; Input'!V18)</f>
        <v>PANHANDLE EASTERN PIPELINE COMPANY</v>
      </c>
      <c r="D57" s="80"/>
      <c r="E57" s="47" t="str">
        <f>IF('[1]Instruct &amp; Input'!Y18=0," ",'[1]Instruct &amp; Input'!Y18)</f>
        <v> </v>
      </c>
    </row>
    <row r="58" spans="1:5" ht="12.75" customHeight="1">
      <c r="A58" s="45"/>
      <c r="B58" s="47" t="str">
        <f>IF('[1]Instruct &amp; Input'!V19=0," ",'[1]Instruct &amp; Input'!V19)</f>
        <v>PANHANDLE EASTERN PIPELINE COMPANY</v>
      </c>
      <c r="D58" s="80"/>
      <c r="E58" s="47" t="str">
        <f>IF('[1]Instruct &amp; Input'!Y19=0," ",'[1]Instruct &amp; Input'!Y19)</f>
        <v> </v>
      </c>
    </row>
    <row r="59" spans="1:5" ht="12.75" customHeight="1">
      <c r="A59" s="45"/>
      <c r="B59" s="47" t="str">
        <f>IF('[1]Instruct &amp; Input'!V20=0," ",'[1]Instruct &amp; Input'!V20)</f>
        <v>COLUMBIA GULF TRANSMISSION COMPANY</v>
      </c>
      <c r="D59" s="80"/>
      <c r="E59" s="47" t="str">
        <f>IF('[1]Instruct &amp; Input'!Y20=0," ",'[1]Instruct &amp; Input'!Y20)</f>
        <v> </v>
      </c>
    </row>
    <row r="60" spans="1:5" ht="12.75" customHeight="1">
      <c r="A60" s="45"/>
      <c r="B60" s="47" t="str">
        <f>IF('[1]Instruct &amp; Input'!V21=0," ",'[1]Instruct &amp; Input'!V21)</f>
        <v>COLUMBIA GAS TRANSMISSION CORPORATION</v>
      </c>
      <c r="D60" s="80"/>
      <c r="E60" s="47" t="str">
        <f>IF('[1]Instruct &amp; Input'!Y21=0," ",'[1]Instruct &amp; Input'!Y21)</f>
        <v> </v>
      </c>
    </row>
    <row r="61" spans="1:5" ht="12.75" customHeight="1">
      <c r="A61" s="45"/>
      <c r="B61" s="47" t="str">
        <f>IF('[1]Instruct &amp; Input'!V22=0," ",'[1]Instruct &amp; Input'!V22)</f>
        <v>COLUMBIA GAS TRANSMISSION CORPORATION</v>
      </c>
      <c r="D61" s="80"/>
      <c r="E61" s="47" t="str">
        <f>IF('[1]Instruct &amp; Input'!Y22=0," ",'[1]Instruct &amp; Input'!Y22)</f>
        <v> </v>
      </c>
    </row>
    <row r="62" spans="1:5" ht="12.75" customHeight="1">
      <c r="A62" s="45"/>
      <c r="B62" s="47" t="str">
        <f>IF('[1]Instruct &amp; Input'!V23=0," ",'[1]Instruct &amp; Input'!V23)</f>
        <v>COLUMBIA GAS TRANSMISSION CORPORATION</v>
      </c>
      <c r="D62" s="80"/>
      <c r="E62" s="47" t="str">
        <f>IF('[1]Instruct &amp; Input'!Y23=0," ",'[1]Instruct &amp; Input'!Y23)</f>
        <v> </v>
      </c>
    </row>
    <row r="63" spans="1:5" ht="12.75" customHeight="1">
      <c r="A63" s="45"/>
      <c r="B63" s="47" t="str">
        <f>IF('[1]Instruct &amp; Input'!V26=0," ",'[1]Instruct &amp; Input'!V26)</f>
        <v> </v>
      </c>
      <c r="D63" s="80"/>
      <c r="E63" s="134" t="str">
        <f>IF('[1]Instruct &amp; Input'!Y26=0," ",'[1]Instruct &amp; Input'!Y26)</f>
        <v> </v>
      </c>
    </row>
    <row r="64" spans="1:5" ht="12.75" customHeight="1">
      <c r="A64" s="45"/>
      <c r="B64" s="4" t="s">
        <v>174</v>
      </c>
      <c r="D64" s="80"/>
      <c r="E64" s="60">
        <f>SUM(E43:E63)</f>
        <v>-257669.7</v>
      </c>
    </row>
    <row r="65" spans="1:5" ht="12.75" customHeight="1">
      <c r="A65" s="45"/>
      <c r="D65" s="80"/>
      <c r="E65" s="47"/>
    </row>
    <row r="66" spans="1:5" ht="12.75" customHeight="1">
      <c r="A66" s="45" t="s">
        <v>175</v>
      </c>
      <c r="D66" s="80"/>
      <c r="E66" s="47"/>
    </row>
    <row r="67" spans="1:5" ht="12.75" customHeight="1">
      <c r="A67" s="45"/>
      <c r="D67" s="80"/>
      <c r="E67" s="60"/>
    </row>
    <row r="68" spans="1:5" ht="12.75" customHeight="1">
      <c r="A68" s="40"/>
      <c r="B68" s="8" t="s">
        <v>176</v>
      </c>
      <c r="C68" s="8"/>
      <c r="D68" s="126"/>
      <c r="E68" s="60">
        <f>SUM(E67:E67)</f>
        <v>0</v>
      </c>
    </row>
  </sheetData>
  <printOptions horizontalCentered="1"/>
  <pageMargins left="0.5" right="0.5" top="0.5" bottom="0.25" header="0.5" footer="0.5"/>
  <pageSetup horizontalDpi="300" verticalDpi="300" orientation="portrait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I59"/>
  <sheetViews>
    <sheetView workbookViewId="0" topLeftCell="A25">
      <selection activeCell="B28" sqref="B28"/>
    </sheetView>
  </sheetViews>
  <sheetFormatPr defaultColWidth="9.140625" defaultRowHeight="12.75" customHeight="1"/>
  <cols>
    <col min="1" max="1" width="2.8515625" style="4" customWidth="1"/>
    <col min="2" max="2" width="47.7109375" style="4" customWidth="1"/>
    <col min="3" max="3" width="9.140625" style="4" customWidth="1"/>
    <col min="4" max="4" width="14.421875" style="4" customWidth="1"/>
    <col min="5" max="5" width="12.28125" style="4" customWidth="1"/>
    <col min="6" max="6" width="14.57421875" style="4" customWidth="1"/>
    <col min="7" max="7" width="8.57421875" style="4" customWidth="1"/>
    <col min="8" max="8" width="11.8515625" style="4" customWidth="1"/>
    <col min="9" max="16384" width="9.140625" style="4" customWidth="1"/>
  </cols>
  <sheetData>
    <row r="1" ht="12.75" customHeight="1">
      <c r="F1" s="32" t="s">
        <v>177</v>
      </c>
    </row>
    <row r="2" spans="2:6" ht="12.75" customHeight="1">
      <c r="B2" s="1" t="s">
        <v>178</v>
      </c>
      <c r="C2" s="1"/>
      <c r="D2" s="1"/>
      <c r="E2" s="1"/>
      <c r="F2" s="1"/>
    </row>
    <row r="3" spans="2:6" ht="12.75" customHeight="1">
      <c r="B3" s="1"/>
      <c r="C3" s="1"/>
      <c r="D3" s="1"/>
      <c r="E3" s="1"/>
      <c r="F3" s="1"/>
    </row>
    <row r="4" spans="2:6" ht="12.75" customHeight="1">
      <c r="B4" s="1" t="s">
        <v>1</v>
      </c>
      <c r="C4" s="1"/>
      <c r="D4" s="1"/>
      <c r="E4" s="1"/>
      <c r="F4" s="1"/>
    </row>
    <row r="5" spans="2:6" ht="12.75" customHeight="1">
      <c r="B5" s="1"/>
      <c r="C5" s="1"/>
      <c r="D5" s="1"/>
      <c r="E5" s="1"/>
      <c r="F5" s="1"/>
    </row>
    <row r="6" spans="2:6" ht="12.75" customHeight="1">
      <c r="B6" s="1" t="s">
        <v>179</v>
      </c>
      <c r="C6" s="1"/>
      <c r="D6" s="1"/>
      <c r="E6" s="1"/>
      <c r="F6" s="1"/>
    </row>
    <row r="8" spans="4:6" ht="12.75" customHeight="1">
      <c r="D8" s="32" t="s">
        <v>151</v>
      </c>
      <c r="E8" s="125">
        <f>'[1]Instruct &amp; Input'!E20</f>
        <v>39836</v>
      </c>
      <c r="F8" s="32"/>
    </row>
    <row r="9" spans="1:6" ht="12.75" customHeight="1" thickBot="1">
      <c r="A9" s="8"/>
      <c r="B9" s="8"/>
      <c r="C9" s="8"/>
      <c r="D9" s="8"/>
      <c r="E9" s="8"/>
      <c r="F9" s="8"/>
    </row>
    <row r="10" spans="1:8" ht="12.75" customHeight="1" thickBot="1">
      <c r="A10" s="71" t="s">
        <v>3</v>
      </c>
      <c r="B10" s="9"/>
      <c r="C10" s="11" t="s">
        <v>152</v>
      </c>
      <c r="D10" s="11" t="s">
        <v>180</v>
      </c>
      <c r="E10" s="11" t="s">
        <v>180</v>
      </c>
      <c r="F10" s="11" t="s">
        <v>180</v>
      </c>
      <c r="H10" s="135" t="s">
        <v>181</v>
      </c>
    </row>
    <row r="11" spans="1:8" ht="12.75" customHeight="1">
      <c r="A11" s="45"/>
      <c r="C11" s="42"/>
      <c r="D11" s="136">
        <f>E8-55</f>
        <v>39781</v>
      </c>
      <c r="E11" s="136">
        <f>E8-24</f>
        <v>39812</v>
      </c>
      <c r="F11" s="136">
        <f>E8+7</f>
        <v>39843</v>
      </c>
      <c r="H11" s="137">
        <f>F11-90</f>
        <v>39753</v>
      </c>
    </row>
    <row r="12" spans="1:6" ht="12.75" customHeight="1">
      <c r="A12" s="43" t="s">
        <v>182</v>
      </c>
      <c r="C12" s="42"/>
      <c r="D12" s="42"/>
      <c r="E12" s="42"/>
      <c r="F12" s="42"/>
    </row>
    <row r="13" spans="1:6" ht="12.75" customHeight="1">
      <c r="A13" s="45"/>
      <c r="B13" s="4" t="s">
        <v>51</v>
      </c>
      <c r="C13" s="80" t="s">
        <v>19</v>
      </c>
      <c r="D13" s="122">
        <f>VLOOKUP(D11,ACTUALS,3)</f>
        <v>11724803</v>
      </c>
      <c r="E13" s="122">
        <f>VLOOKUP(E11,ACTUALS,3)</f>
        <v>15689797</v>
      </c>
      <c r="F13" s="122">
        <f>VLOOKUP(F11,ACTUALS,3)</f>
        <v>20590673</v>
      </c>
    </row>
    <row r="14" spans="1:6" ht="12.75" customHeight="1">
      <c r="A14" s="45"/>
      <c r="B14" s="4" t="s">
        <v>183</v>
      </c>
      <c r="C14" s="80" t="s">
        <v>19</v>
      </c>
      <c r="D14" s="122"/>
      <c r="E14" s="122"/>
      <c r="F14" s="122"/>
    </row>
    <row r="15" spans="1:6" ht="12.75" customHeight="1">
      <c r="A15" s="45"/>
      <c r="B15" s="4" t="s">
        <v>184</v>
      </c>
      <c r="C15" s="80" t="s">
        <v>19</v>
      </c>
      <c r="D15" s="138"/>
      <c r="E15" s="138"/>
      <c r="F15" s="138"/>
    </row>
    <row r="16" spans="1:6" ht="12.75" customHeight="1">
      <c r="A16" s="45" t="s">
        <v>185</v>
      </c>
      <c r="C16" s="80" t="s">
        <v>19</v>
      </c>
      <c r="D16" s="139">
        <f>SUM(D13:D15)</f>
        <v>11724803</v>
      </c>
      <c r="E16" s="139">
        <f>SUM(E13:E15)</f>
        <v>15689797</v>
      </c>
      <c r="F16" s="139">
        <f>SUM(F13:F15)</f>
        <v>20590673</v>
      </c>
    </row>
    <row r="17" spans="1:6" ht="12.75" customHeight="1">
      <c r="A17" s="45"/>
      <c r="C17" s="80"/>
      <c r="D17" s="42"/>
      <c r="E17" s="42"/>
      <c r="F17" s="42"/>
    </row>
    <row r="18" spans="1:6" ht="12.75" customHeight="1" thickBot="1">
      <c r="A18" s="43"/>
      <c r="C18" s="80"/>
      <c r="D18" s="42"/>
      <c r="E18" s="42"/>
      <c r="F18" s="42"/>
    </row>
    <row r="19" spans="1:9" ht="12.75" customHeight="1" thickBot="1">
      <c r="A19" s="45"/>
      <c r="B19" s="4" t="s">
        <v>51</v>
      </c>
      <c r="C19" s="80" t="s">
        <v>17</v>
      </c>
      <c r="D19" s="122">
        <f>VLOOKUP(D11,ACTUALS,2)</f>
        <v>105281313.91</v>
      </c>
      <c r="E19" s="122">
        <f>VLOOKUP(E11,ACTUALS,2)</f>
        <v>145152850.77</v>
      </c>
      <c r="F19" s="122">
        <f>VLOOKUP(F11,ACTUALS,2)</f>
        <v>150198894.83</v>
      </c>
      <c r="H19" s="135" t="s">
        <v>186</v>
      </c>
      <c r="I19" s="4" t="s">
        <v>187</v>
      </c>
    </row>
    <row r="20" spans="1:9" ht="12.75" customHeight="1">
      <c r="A20" s="45"/>
      <c r="B20" s="4" t="s">
        <v>188</v>
      </c>
      <c r="C20" s="80" t="s">
        <v>17</v>
      </c>
      <c r="D20" s="122">
        <f>VLOOKUP(D11,TABLE242,16)</f>
        <v>-80517.19</v>
      </c>
      <c r="E20" s="122">
        <f>VLOOKUP(E11,TABLE242,16)</f>
        <v>-142701.28</v>
      </c>
      <c r="F20" s="122">
        <f>VLOOKUP(F11,TABLE242,16)</f>
        <v>-220888.95</v>
      </c>
      <c r="G20" s="140" t="s">
        <v>189</v>
      </c>
      <c r="H20" s="55">
        <f>(VLOOKUP(H11,TABLE242,8)-VLOOKUP(F11,TABLE242,8))+SUM(D20:F20)</f>
        <v>-444107.42000000004</v>
      </c>
      <c r="I20" s="4" t="s">
        <v>190</v>
      </c>
    </row>
    <row r="21" spans="1:8" ht="12.75" customHeight="1">
      <c r="A21" s="45"/>
      <c r="B21" s="4" t="s">
        <v>191</v>
      </c>
      <c r="C21" s="80" t="s">
        <v>17</v>
      </c>
      <c r="D21" s="122">
        <f>VLOOKUP(D11,TABLE242,10)</f>
        <v>-30248.41</v>
      </c>
      <c r="E21" s="122">
        <f>VLOOKUP(E11,TABLE242,10)</f>
        <v>-63584.44</v>
      </c>
      <c r="F21" s="122">
        <f>VLOOKUP(F11,TABLE242,10)</f>
        <v>-118772.67</v>
      </c>
      <c r="G21" s="140" t="s">
        <v>189</v>
      </c>
      <c r="H21" s="55">
        <f>(VLOOKUP(H11,TABLE242,2)-VLOOKUP(F11,TABLE242,2))+SUM(D21:F21)</f>
        <v>-212605.52000000002</v>
      </c>
    </row>
    <row r="22" spans="1:8" ht="12.75" customHeight="1">
      <c r="A22" s="45"/>
      <c r="B22" s="4" t="s">
        <v>192</v>
      </c>
      <c r="C22" s="80" t="s">
        <v>17</v>
      </c>
      <c r="D22" s="122">
        <f>VLOOKUP(D11,TABLE242,11)+VLOOKUP(D11,TABLE242,15)</f>
        <v>0</v>
      </c>
      <c r="E22" s="122">
        <f>VLOOKUP(E11,TABLE242,11)+VLOOKUP(E11,TABLE242,15)</f>
        <v>0</v>
      </c>
      <c r="F22" s="122">
        <f>VLOOKUP(F11,TABLE242,11)+VLOOKUP(F11,TABLE242,15)</f>
        <v>0</v>
      </c>
      <c r="G22" s="140" t="s">
        <v>189</v>
      </c>
      <c r="H22" s="55">
        <f>((VLOOKUP(H11,TABLE242,3)-VLOOKUP(F11,TABLE242,3))+SUM(D22:F22))+(VLOOKUP(H11,TABLE242,7)-VLOOKUP(F11,TABLE242,7))</f>
        <v>0</v>
      </c>
    </row>
    <row r="23" spans="1:8" ht="12.75" customHeight="1">
      <c r="A23" s="45"/>
      <c r="B23" s="4" t="s">
        <v>193</v>
      </c>
      <c r="C23" s="80" t="s">
        <v>17</v>
      </c>
      <c r="D23" s="122">
        <f>VLOOKUP(D11,TABLE242,12)</f>
        <v>-2731.68</v>
      </c>
      <c r="E23" s="122">
        <f>VLOOKUP(E11,TABLE242,12)</f>
        <v>-6859.13</v>
      </c>
      <c r="F23" s="122">
        <f>VLOOKUP(F11,TABLE242,12)</f>
        <v>-49245.42</v>
      </c>
      <c r="G23" s="140" t="s">
        <v>189</v>
      </c>
      <c r="H23" s="55">
        <f>(VLOOKUP(H11,TABLE242,4)-VLOOKUP(F11,TABLE242,4))+SUM(D23:F23)</f>
        <v>-58836.229999999996</v>
      </c>
    </row>
    <row r="24" spans="1:8" ht="12.75" customHeight="1">
      <c r="A24" s="45"/>
      <c r="B24" s="4" t="s">
        <v>194</v>
      </c>
      <c r="C24" s="80" t="s">
        <v>17</v>
      </c>
      <c r="D24" s="122">
        <f>VLOOKUP(D11,TABLE242,13)</f>
        <v>-11420.23</v>
      </c>
      <c r="E24" s="122">
        <f>VLOOKUP(E11,TABLE242,13)</f>
        <v>-11490.82</v>
      </c>
      <c r="F24" s="122">
        <f>VLOOKUP(F11,TABLE242,13)</f>
        <v>-11152.52</v>
      </c>
      <c r="G24" s="140" t="s">
        <v>189</v>
      </c>
      <c r="H24" s="55">
        <f>(VLOOKUP(H11,TABLE242,5)-VLOOKUP(F11,TABLE242,5))+SUM(D24:F24)</f>
        <v>-34063.57</v>
      </c>
    </row>
    <row r="25" spans="1:8" ht="12.75" customHeight="1">
      <c r="A25" s="45"/>
      <c r="B25" s="4" t="s">
        <v>195</v>
      </c>
      <c r="C25" s="80" t="s">
        <v>17</v>
      </c>
      <c r="D25" s="122">
        <f>VLOOKUP(D11,TABLE242,14)</f>
        <v>0</v>
      </c>
      <c r="E25" s="122">
        <f>VLOOKUP(E11,TABLE242,14)</f>
        <v>0</v>
      </c>
      <c r="F25" s="122">
        <f>VLOOKUP(F11,TABLE242,14)</f>
        <v>0</v>
      </c>
      <c r="G25" s="140" t="s">
        <v>189</v>
      </c>
      <c r="H25" s="55">
        <f>(VLOOKUP(H11,TABLE242,6)-VLOOKUP(F11,TABLE242,6))+SUM(D25:F25)</f>
        <v>0</v>
      </c>
    </row>
    <row r="26" spans="1:8" ht="12.75" customHeight="1">
      <c r="A26" s="45"/>
      <c r="B26" s="4" t="s">
        <v>196</v>
      </c>
      <c r="C26" s="80" t="s">
        <v>17</v>
      </c>
      <c r="D26" s="138">
        <v>0</v>
      </c>
      <c r="E26" s="138">
        <v>0</v>
      </c>
      <c r="F26" s="138">
        <v>0</v>
      </c>
      <c r="G26" s="140"/>
      <c r="H26" s="55"/>
    </row>
    <row r="27" spans="1:6" ht="12.75" customHeight="1">
      <c r="A27" s="45" t="s">
        <v>197</v>
      </c>
      <c r="C27" s="80" t="s">
        <v>17</v>
      </c>
      <c r="D27" s="139">
        <f>SUM(D19:D26)</f>
        <v>105156396.39999999</v>
      </c>
      <c r="E27" s="139">
        <f>SUM(E19:E26)</f>
        <v>144928215.10000002</v>
      </c>
      <c r="F27" s="139">
        <f>SUM(F19:F26)</f>
        <v>149798835.27000004</v>
      </c>
    </row>
    <row r="28" spans="1:6" ht="12.75" customHeight="1">
      <c r="A28" s="45" t="s">
        <v>198</v>
      </c>
      <c r="C28" s="80" t="s">
        <v>19</v>
      </c>
      <c r="D28" s="47">
        <f>'[1]Sales &amp; CHOICE Volumes'!B24+'[1]Sales &amp; CHOICE Volumes'!D24</f>
        <v>6102895</v>
      </c>
      <c r="E28" s="47">
        <f>'[1]Sales &amp; CHOICE Volumes'!B25+'[1]Sales &amp; CHOICE Volumes'!D25</f>
        <v>12448149</v>
      </c>
      <c r="F28" s="47">
        <f>'[1]Sales &amp; CHOICE Volumes'!B26+'[1]Sales &amp; CHOICE Volumes'!D26</f>
        <v>16318665</v>
      </c>
    </row>
    <row r="29" spans="1:6" ht="12.75" customHeight="1">
      <c r="A29" s="45" t="s">
        <v>199</v>
      </c>
      <c r="C29" s="80" t="s">
        <v>8</v>
      </c>
      <c r="D29" s="141">
        <f>ROUND(D27/D28,4)</f>
        <v>17.2306</v>
      </c>
      <c r="E29" s="141">
        <f>ROUND(E27/E28,4)</f>
        <v>11.6426</v>
      </c>
      <c r="F29" s="141">
        <f>ROUND(F27/F28,4)</f>
        <v>9.1796</v>
      </c>
    </row>
    <row r="30" spans="1:6" ht="12.75" customHeight="1">
      <c r="A30" s="45"/>
      <c r="C30" s="80"/>
      <c r="D30" s="42"/>
      <c r="E30" s="42"/>
      <c r="F30" s="42"/>
    </row>
    <row r="31" spans="1:6" ht="12.75" customHeight="1">
      <c r="A31" s="43" t="s">
        <v>200</v>
      </c>
      <c r="C31" s="80"/>
      <c r="D31" s="42"/>
      <c r="E31" s="42"/>
      <c r="F31" s="42"/>
    </row>
    <row r="32" spans="1:6" ht="12.75" customHeight="1">
      <c r="A32" s="45"/>
      <c r="B32" s="4" t="s">
        <v>201</v>
      </c>
      <c r="C32" s="80" t="s">
        <v>8</v>
      </c>
      <c r="D32" s="142">
        <v>10.7837</v>
      </c>
      <c r="E32" s="142">
        <v>10.7791</v>
      </c>
      <c r="F32" s="142">
        <v>8.2766</v>
      </c>
    </row>
    <row r="33" spans="1:6" ht="12.75" customHeight="1">
      <c r="A33" s="45"/>
      <c r="B33" s="4" t="s">
        <v>202</v>
      </c>
      <c r="C33" s="80" t="s">
        <v>19</v>
      </c>
      <c r="D33" s="143">
        <f>VLOOKUP(D11,ADJUSTTABLE,2)</f>
        <v>5386264.3</v>
      </c>
      <c r="E33" s="143">
        <f>VLOOKUP(E11,ADJUSTTABLE,2)</f>
        <v>10902127.3</v>
      </c>
      <c r="F33" s="143">
        <f>VLOOKUP(F11,ADJUSTTABLE,2)</f>
        <v>14248624.1</v>
      </c>
    </row>
    <row r="34" spans="1:6" ht="12.75" customHeight="1">
      <c r="A34" s="45"/>
      <c r="B34" s="4" t="s">
        <v>203</v>
      </c>
      <c r="C34" s="80" t="s">
        <v>17</v>
      </c>
      <c r="D34" s="47">
        <f>ROUND(D32*D33,0)</f>
        <v>58083858</v>
      </c>
      <c r="E34" s="47">
        <f>ROUND(E32*E33,0)</f>
        <v>117515120</v>
      </c>
      <c r="F34" s="47">
        <f>ROUND(F32*F33,0)</f>
        <v>117930162</v>
      </c>
    </row>
    <row r="35" spans="1:6" ht="12.75" customHeight="1">
      <c r="A35" s="45"/>
      <c r="C35" s="80"/>
      <c r="D35" s="42"/>
      <c r="E35" s="42"/>
      <c r="F35" s="42"/>
    </row>
    <row r="36" spans="1:7" ht="12.75" customHeight="1">
      <c r="A36" s="45"/>
      <c r="B36" s="4" t="s">
        <v>204</v>
      </c>
      <c r="C36" s="80" t="s">
        <v>8</v>
      </c>
      <c r="D36" s="142">
        <f>D32+'[1]Summ Work'!D9-0.0469</f>
        <v>10.7236</v>
      </c>
      <c r="E36" s="142">
        <f>E32+'[1]Summ Work'!D9-0.0469</f>
        <v>10.719</v>
      </c>
      <c r="F36" s="142">
        <f>F32+'[1]Summ Work'!D9-0.0469</f>
        <v>8.2165</v>
      </c>
      <c r="G36" s="4" t="s">
        <v>205</v>
      </c>
    </row>
    <row r="37" spans="1:7" ht="12.75" customHeight="1">
      <c r="A37" s="45"/>
      <c r="B37" s="4" t="s">
        <v>206</v>
      </c>
      <c r="C37" s="80" t="s">
        <v>19</v>
      </c>
      <c r="D37" s="143">
        <f>VLOOKUP(D11,PIPTABLE,2)</f>
        <v>716630.7</v>
      </c>
      <c r="E37" s="143">
        <f>VLOOKUP(E11,PIPTABLE,2)</f>
        <v>1546021.7</v>
      </c>
      <c r="F37" s="143">
        <f>VLOOKUP(F11,PIPTABLE,2)</f>
        <v>2070040.9</v>
      </c>
      <c r="G37" s="4" t="s">
        <v>207</v>
      </c>
    </row>
    <row r="38" spans="1:6" ht="12.75" customHeight="1">
      <c r="A38" s="45"/>
      <c r="B38" s="4" t="s">
        <v>208</v>
      </c>
      <c r="C38" s="80" t="s">
        <v>17</v>
      </c>
      <c r="D38" s="60">
        <f>ROUND(D37*D36,0)</f>
        <v>7684861</v>
      </c>
      <c r="E38" s="60">
        <f>ROUND(E37*E36,0)</f>
        <v>16571807</v>
      </c>
      <c r="F38" s="60">
        <f>ROUND(F37*F36,0)</f>
        <v>17008491</v>
      </c>
    </row>
    <row r="39" spans="1:6" ht="12.75" customHeight="1">
      <c r="A39" s="45"/>
      <c r="C39" s="80"/>
      <c r="D39" s="47"/>
      <c r="E39" s="47"/>
      <c r="F39" s="47"/>
    </row>
    <row r="40" spans="1:6" ht="12.75" customHeight="1">
      <c r="A40" s="45" t="s">
        <v>209</v>
      </c>
      <c r="C40" s="80" t="s">
        <v>17</v>
      </c>
      <c r="D40" s="144">
        <f>SUM(D38+D34)</f>
        <v>65768719</v>
      </c>
      <c r="E40" s="144">
        <f>SUM(E38+E34)</f>
        <v>134086927</v>
      </c>
      <c r="F40" s="144">
        <f>SUM(F38+F34)</f>
        <v>134938653</v>
      </c>
    </row>
    <row r="41" spans="1:6" ht="12.75" customHeight="1">
      <c r="A41" s="45"/>
      <c r="C41" s="80"/>
      <c r="D41" s="42"/>
      <c r="E41" s="42"/>
      <c r="F41" s="42"/>
    </row>
    <row r="42" spans="1:6" ht="12.75" customHeight="1">
      <c r="A42" s="45" t="s">
        <v>210</v>
      </c>
      <c r="C42" s="80" t="s">
        <v>17</v>
      </c>
      <c r="D42" s="144">
        <f>SUM(D27-D40)</f>
        <v>39387677.39999999</v>
      </c>
      <c r="E42" s="144">
        <f>SUM(E27-E40)</f>
        <v>10841288.100000024</v>
      </c>
      <c r="F42" s="144">
        <f>SUM(F27-F40)</f>
        <v>14860182.27000004</v>
      </c>
    </row>
    <row r="43" spans="1:6" ht="12.75" customHeight="1">
      <c r="A43" s="45" t="s">
        <v>211</v>
      </c>
      <c r="C43" s="67"/>
      <c r="D43" s="145"/>
      <c r="E43" s="145"/>
      <c r="F43" s="144">
        <f>-122118.13+61536.11+259162.63+219682.71+288848.73+1669388.44+807415.15</f>
        <v>3183915.6399999997</v>
      </c>
    </row>
    <row r="44" spans="1:6" ht="12.75" customHeight="1">
      <c r="A44" s="146" t="s">
        <v>212</v>
      </c>
      <c r="B44" s="8"/>
      <c r="C44" s="12" t="s">
        <v>17</v>
      </c>
      <c r="D44" s="8"/>
      <c r="E44" s="8"/>
      <c r="F44" s="139">
        <f>'Sched 4 File'!E49</f>
        <v>-108450</v>
      </c>
    </row>
    <row r="45" spans="1:6" ht="12.75" customHeight="1">
      <c r="A45" s="71" t="s">
        <v>3</v>
      </c>
      <c r="B45" s="9"/>
      <c r="C45" s="12"/>
      <c r="D45" s="12"/>
      <c r="E45" s="12" t="s">
        <v>152</v>
      </c>
      <c r="F45" s="126" t="s">
        <v>180</v>
      </c>
    </row>
    <row r="46" spans="1:6" ht="12.75" customHeight="1">
      <c r="A46" s="45"/>
      <c r="F46" s="42"/>
    </row>
    <row r="47" spans="1:6" ht="12.75" customHeight="1">
      <c r="A47" s="45"/>
      <c r="D47" s="32" t="s">
        <v>213</v>
      </c>
      <c r="E47" s="15" t="s">
        <v>17</v>
      </c>
      <c r="F47" s="144">
        <f>SUM(D42:F42)+F44+F43</f>
        <v>68164613.41000006</v>
      </c>
    </row>
    <row r="48" spans="1:7" ht="12.75" customHeight="1">
      <c r="A48" s="45"/>
      <c r="C48" s="32" t="s">
        <v>214</v>
      </c>
      <c r="D48" s="125" t="str">
        <f>'[1]Instruct &amp; Input'!C8</f>
        <v>April 30, 2010</v>
      </c>
      <c r="E48" s="15" t="s">
        <v>19</v>
      </c>
      <c r="F48" s="139">
        <f>'Sched 2 File'!E15</f>
        <v>74496000</v>
      </c>
      <c r="G48" s="4" t="s">
        <v>155</v>
      </c>
    </row>
    <row r="49" spans="1:7" ht="12.75" customHeight="1">
      <c r="A49" s="45"/>
      <c r="C49" s="32"/>
      <c r="D49" s="46"/>
      <c r="F49" s="42"/>
      <c r="G49" s="4" t="s">
        <v>156</v>
      </c>
    </row>
    <row r="50" spans="1:7" ht="12.75" customHeight="1">
      <c r="A50" s="40" t="s">
        <v>215</v>
      </c>
      <c r="B50" s="8"/>
      <c r="C50" s="8"/>
      <c r="D50" s="8"/>
      <c r="E50" s="12" t="s">
        <v>8</v>
      </c>
      <c r="F50" s="141">
        <f>ROUND(F47/F48,4)</f>
        <v>0.915</v>
      </c>
      <c r="G50" s="4" t="s">
        <v>158</v>
      </c>
    </row>
    <row r="51" ht="12.75" customHeight="1">
      <c r="G51" s="4" t="s">
        <v>216</v>
      </c>
    </row>
    <row r="52" ht="12.75" customHeight="1">
      <c r="A52" s="147"/>
    </row>
    <row r="59" ht="12.75" customHeight="1">
      <c r="A59" s="147"/>
    </row>
  </sheetData>
  <printOptions horizontalCentered="1"/>
  <pageMargins left="0.5" right="0.5" top="1" bottom="1" header="0.5" footer="0.5"/>
  <pageSetup horizontalDpi="300" verticalDpi="300" orientation="portrait" scale="7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X49"/>
  <sheetViews>
    <sheetView zoomScale="75" zoomScaleNormal="75" workbookViewId="0" topLeftCell="A4">
      <selection activeCell="B28" sqref="B28"/>
    </sheetView>
  </sheetViews>
  <sheetFormatPr defaultColWidth="9.140625" defaultRowHeight="12.75" customHeight="1"/>
  <cols>
    <col min="1" max="1" width="5.00390625" style="4" customWidth="1"/>
    <col min="2" max="2" width="49.28125" style="4" customWidth="1"/>
    <col min="3" max="3" width="16.140625" style="4" customWidth="1"/>
    <col min="4" max="4" width="9.140625" style="4" customWidth="1"/>
    <col min="5" max="5" width="12.140625" style="55" customWidth="1"/>
    <col min="6" max="6" width="11.00390625" style="4" customWidth="1"/>
    <col min="7" max="11" width="15.57421875" style="4" customWidth="1"/>
    <col min="12" max="12" width="11.00390625" style="4" customWidth="1"/>
    <col min="13" max="17" width="15.57421875" style="4" customWidth="1"/>
    <col min="18" max="18" width="11.00390625" style="4" customWidth="1"/>
    <col min="19" max="23" width="15.57421875" style="4" customWidth="1"/>
    <col min="24" max="16384" width="9.140625" style="4" customWidth="1"/>
  </cols>
  <sheetData>
    <row r="1" spans="5:23" ht="12.75" customHeight="1">
      <c r="E1" s="148" t="s">
        <v>217</v>
      </c>
      <c r="K1" s="32" t="s">
        <v>217</v>
      </c>
      <c r="Q1" s="32" t="s">
        <v>217</v>
      </c>
      <c r="W1" s="32" t="s">
        <v>217</v>
      </c>
    </row>
    <row r="2" spans="2:23" ht="12.75" customHeight="1">
      <c r="B2" s="1" t="s">
        <v>178</v>
      </c>
      <c r="C2" s="1"/>
      <c r="D2" s="2"/>
      <c r="E2" s="102"/>
      <c r="K2" s="32" t="s">
        <v>218</v>
      </c>
      <c r="Q2" s="32" t="s">
        <v>219</v>
      </c>
      <c r="W2" s="32" t="s">
        <v>220</v>
      </c>
    </row>
    <row r="3" spans="2:23" ht="12.75" customHeight="1">
      <c r="B3" s="1"/>
      <c r="C3" s="1"/>
      <c r="D3" s="2"/>
      <c r="E3" s="102"/>
      <c r="F3" s="1" t="s">
        <v>1</v>
      </c>
      <c r="G3" s="1"/>
      <c r="H3" s="1"/>
      <c r="I3" s="1"/>
      <c r="J3" s="1"/>
      <c r="K3" s="1"/>
      <c r="L3" s="149" t="s">
        <v>1</v>
      </c>
      <c r="M3" s="149"/>
      <c r="N3" s="149"/>
      <c r="O3" s="149"/>
      <c r="P3" s="149"/>
      <c r="Q3" s="149"/>
      <c r="R3" s="1" t="s">
        <v>1</v>
      </c>
      <c r="S3" s="1"/>
      <c r="T3" s="1"/>
      <c r="U3" s="1"/>
      <c r="V3" s="1"/>
      <c r="W3" s="1"/>
    </row>
    <row r="4" spans="2:23" ht="12.75" customHeight="1">
      <c r="B4" s="33" t="s">
        <v>1</v>
      </c>
      <c r="C4" s="33"/>
      <c r="D4" s="2"/>
      <c r="E4" s="102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2:23" ht="12.75" customHeight="1">
      <c r="B5" s="1"/>
      <c r="C5" s="1"/>
      <c r="D5" s="2"/>
      <c r="E5" s="102"/>
      <c r="F5" s="1" t="s">
        <v>221</v>
      </c>
      <c r="G5" s="1"/>
      <c r="H5" s="1"/>
      <c r="I5" s="1"/>
      <c r="J5" s="1"/>
      <c r="K5" s="1"/>
      <c r="L5" s="1" t="s">
        <v>221</v>
      </c>
      <c r="M5" s="1"/>
      <c r="N5" s="1"/>
      <c r="O5" s="1"/>
      <c r="P5" s="1"/>
      <c r="Q5" s="1"/>
      <c r="R5" s="1" t="s">
        <v>221</v>
      </c>
      <c r="S5" s="1"/>
      <c r="T5" s="1"/>
      <c r="U5" s="1"/>
      <c r="V5" s="1"/>
      <c r="W5" s="1"/>
    </row>
    <row r="6" spans="2:23" ht="12.75" customHeight="1">
      <c r="B6" s="1" t="s">
        <v>222</v>
      </c>
      <c r="C6" s="1"/>
      <c r="D6" s="2"/>
      <c r="E6" s="102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2:23" ht="12.75" customHeight="1">
      <c r="B7" s="2"/>
      <c r="C7" s="2"/>
      <c r="D7" s="2"/>
      <c r="E7" s="102"/>
      <c r="F7" s="1" t="s">
        <v>223</v>
      </c>
      <c r="G7" s="1"/>
      <c r="H7" s="1"/>
      <c r="I7" s="1"/>
      <c r="J7" s="1"/>
      <c r="K7" s="1"/>
      <c r="L7" s="1" t="s">
        <v>224</v>
      </c>
      <c r="M7" s="1"/>
      <c r="N7" s="1"/>
      <c r="O7" s="1"/>
      <c r="P7" s="1"/>
      <c r="Q7" s="1"/>
      <c r="R7" s="1" t="s">
        <v>225</v>
      </c>
      <c r="S7" s="1"/>
      <c r="T7" s="1"/>
      <c r="U7" s="1"/>
      <c r="V7" s="1"/>
      <c r="W7" s="1"/>
    </row>
    <row r="8" spans="2:3" ht="12.75" customHeight="1">
      <c r="B8" s="32" t="s">
        <v>226</v>
      </c>
      <c r="C8" s="12" t="str">
        <f>'[1]Instruct &amp; Input'!C8</f>
        <v>April 30, 2010</v>
      </c>
    </row>
    <row r="9" spans="1:20" ht="12.75" customHeight="1">
      <c r="A9" s="8"/>
      <c r="B9" s="8"/>
      <c r="C9" s="8"/>
      <c r="D9" s="8"/>
      <c r="E9" s="59"/>
      <c r="G9" s="32" t="s">
        <v>227</v>
      </c>
      <c r="H9" s="2"/>
      <c r="M9" s="29" t="s">
        <v>228</v>
      </c>
      <c r="N9" s="2"/>
      <c r="S9" s="29" t="s">
        <v>229</v>
      </c>
      <c r="T9" s="2"/>
    </row>
    <row r="10" spans="1:23" ht="12.75" customHeight="1">
      <c r="A10" s="150"/>
      <c r="B10" s="12" t="s">
        <v>3</v>
      </c>
      <c r="C10" s="12"/>
      <c r="D10" s="12" t="s">
        <v>152</v>
      </c>
      <c r="E10" s="151" t="s">
        <v>153</v>
      </c>
      <c r="G10" s="32" t="s">
        <v>230</v>
      </c>
      <c r="H10" s="125">
        <f>'[1]Instruct &amp; Input'!C20</f>
        <v>39506</v>
      </c>
      <c r="I10" s="15" t="s">
        <v>231</v>
      </c>
      <c r="J10" s="125">
        <f>'[1]Instruct &amp; Input'!E20</f>
        <v>39836</v>
      </c>
      <c r="K10" s="152">
        <f>VLOOKUP(H10,raaabatable,6)</f>
        <v>-16750281</v>
      </c>
      <c r="M10" s="32" t="s">
        <v>230</v>
      </c>
      <c r="N10" s="125">
        <f>'[1]Instruct &amp; Input'!C20</f>
        <v>39506</v>
      </c>
      <c r="O10" s="15" t="s">
        <v>231</v>
      </c>
      <c r="P10" s="125">
        <f>L39</f>
        <v>39843</v>
      </c>
      <c r="Q10" s="152">
        <f>VLOOKUP(N10,raaabatable,5)</f>
        <v>-2134</v>
      </c>
      <c r="S10" s="32" t="s">
        <v>230</v>
      </c>
      <c r="T10" s="125">
        <f>'[1]Instruct &amp; Input'!C22</f>
        <v>39776</v>
      </c>
      <c r="U10" s="15" t="s">
        <v>231</v>
      </c>
      <c r="V10" s="125">
        <f>R21</f>
        <v>39840</v>
      </c>
      <c r="W10" s="152">
        <f>VLOOKUP(T10,raaabatable,7)</f>
        <v>0</v>
      </c>
    </row>
    <row r="11" spans="1:5" ht="12.75" customHeight="1">
      <c r="A11" s="45"/>
      <c r="D11" s="42"/>
      <c r="E11" s="47"/>
    </row>
    <row r="12" spans="1:23" ht="12.75" customHeight="1">
      <c r="A12" s="45" t="s">
        <v>232</v>
      </c>
      <c r="D12" s="42"/>
      <c r="E12" s="47"/>
      <c r="F12" s="15"/>
      <c r="G12" s="15"/>
      <c r="H12" s="15" t="s">
        <v>233</v>
      </c>
      <c r="I12" s="15"/>
      <c r="J12" s="15" t="s">
        <v>234</v>
      </c>
      <c r="K12" s="15"/>
      <c r="L12" s="15"/>
      <c r="M12" s="15"/>
      <c r="N12" s="15" t="s">
        <v>233</v>
      </c>
      <c r="O12" s="15"/>
      <c r="P12" s="15" t="s">
        <v>234</v>
      </c>
      <c r="Q12" s="15"/>
      <c r="R12" s="15"/>
      <c r="S12" s="15"/>
      <c r="T12" s="15" t="s">
        <v>233</v>
      </c>
      <c r="U12" s="15"/>
      <c r="V12" s="15" t="s">
        <v>234</v>
      </c>
      <c r="W12" s="15"/>
    </row>
    <row r="13" spans="1:23" ht="12.75" customHeight="1">
      <c r="A13" s="45"/>
      <c r="B13" s="4" t="s">
        <v>235</v>
      </c>
      <c r="D13" s="42"/>
      <c r="E13" s="153" t="s">
        <v>236</v>
      </c>
      <c r="F13" s="15" t="s">
        <v>237</v>
      </c>
      <c r="G13" s="15" t="s">
        <v>238</v>
      </c>
      <c r="H13" s="15" t="s">
        <v>239</v>
      </c>
      <c r="I13" s="15"/>
      <c r="J13" s="15" t="s">
        <v>240</v>
      </c>
      <c r="K13" s="15" t="s">
        <v>153</v>
      </c>
      <c r="L13" s="15" t="s">
        <v>237</v>
      </c>
      <c r="M13" s="15" t="s">
        <v>238</v>
      </c>
      <c r="N13" s="15" t="s">
        <v>239</v>
      </c>
      <c r="O13" s="15"/>
      <c r="P13" s="15" t="s">
        <v>240</v>
      </c>
      <c r="Q13" s="15" t="s">
        <v>153</v>
      </c>
      <c r="R13" s="15" t="s">
        <v>237</v>
      </c>
      <c r="S13" s="15" t="s">
        <v>238</v>
      </c>
      <c r="T13" s="15" t="s">
        <v>239</v>
      </c>
      <c r="U13" s="15"/>
      <c r="V13" s="15" t="s">
        <v>240</v>
      </c>
      <c r="W13" s="15" t="s">
        <v>153</v>
      </c>
    </row>
    <row r="14" spans="1:23" ht="12.75" customHeight="1">
      <c r="A14" s="45"/>
      <c r="D14" s="42"/>
      <c r="E14" s="153" t="s">
        <v>241</v>
      </c>
      <c r="F14" s="64" t="s">
        <v>242</v>
      </c>
      <c r="G14" s="64" t="s">
        <v>243</v>
      </c>
      <c r="H14" s="64" t="s">
        <v>244</v>
      </c>
      <c r="I14" s="64" t="s">
        <v>245</v>
      </c>
      <c r="J14" s="64" t="s">
        <v>246</v>
      </c>
      <c r="K14" s="64" t="s">
        <v>247</v>
      </c>
      <c r="L14" s="64" t="s">
        <v>242</v>
      </c>
      <c r="M14" s="64" t="s">
        <v>243</v>
      </c>
      <c r="N14" s="64" t="s">
        <v>244</v>
      </c>
      <c r="O14" s="64" t="s">
        <v>245</v>
      </c>
      <c r="P14" s="64" t="s">
        <v>246</v>
      </c>
      <c r="Q14" s="64" t="s">
        <v>247</v>
      </c>
      <c r="R14" s="64" t="s">
        <v>242</v>
      </c>
      <c r="S14" s="64" t="s">
        <v>243</v>
      </c>
      <c r="T14" s="64" t="s">
        <v>244</v>
      </c>
      <c r="U14" s="64" t="s">
        <v>245</v>
      </c>
      <c r="V14" s="64" t="s">
        <v>246</v>
      </c>
      <c r="W14" s="64" t="s">
        <v>247</v>
      </c>
    </row>
    <row r="15" spans="1:23" ht="12.75" customHeight="1">
      <c r="A15" s="45" t="s">
        <v>248</v>
      </c>
      <c r="D15" s="42"/>
      <c r="E15" s="153" t="s">
        <v>14</v>
      </c>
      <c r="G15" s="15" t="s">
        <v>249</v>
      </c>
      <c r="H15" s="15" t="s">
        <v>88</v>
      </c>
      <c r="I15" s="15" t="s">
        <v>88</v>
      </c>
      <c r="J15" s="15" t="s">
        <v>250</v>
      </c>
      <c r="K15" s="15" t="s">
        <v>17</v>
      </c>
      <c r="M15" s="15" t="s">
        <v>88</v>
      </c>
      <c r="N15" s="15" t="s">
        <v>88</v>
      </c>
      <c r="O15" s="15" t="s">
        <v>88</v>
      </c>
      <c r="P15" s="15" t="s">
        <v>250</v>
      </c>
      <c r="Q15" s="15" t="s">
        <v>17</v>
      </c>
      <c r="S15" s="15" t="s">
        <v>88</v>
      </c>
      <c r="T15" s="15" t="s">
        <v>88</v>
      </c>
      <c r="U15" s="15" t="s">
        <v>88</v>
      </c>
      <c r="V15" s="15" t="s">
        <v>250</v>
      </c>
      <c r="W15" s="15" t="s">
        <v>17</v>
      </c>
    </row>
    <row r="16" spans="1:5" ht="12.75" customHeight="1">
      <c r="A16" s="45"/>
      <c r="B16" s="4" t="s">
        <v>251</v>
      </c>
      <c r="D16" s="42"/>
      <c r="E16" s="153" t="s">
        <v>217</v>
      </c>
    </row>
    <row r="17" spans="1:23" ht="12.75" customHeight="1">
      <c r="A17" s="45"/>
      <c r="B17" s="4" t="s">
        <v>252</v>
      </c>
      <c r="D17" s="42"/>
      <c r="E17" s="153" t="s">
        <v>253</v>
      </c>
      <c r="F17" s="154">
        <f>H10</f>
        <v>39506</v>
      </c>
      <c r="G17" s="55">
        <f>VLOOKUP(F17,ADJUSTTABLE,2)</f>
        <v>12978723</v>
      </c>
      <c r="H17" s="55">
        <f>VLOOKUP(F17,ADJUSTTABLE,4)</f>
        <v>0</v>
      </c>
      <c r="I17" s="55">
        <f>SUM(G17:H17)</f>
        <v>12978723</v>
      </c>
      <c r="J17" s="155">
        <f>VLOOKUP(H10,raaabatable,3)</f>
        <v>-0.2216</v>
      </c>
      <c r="K17" s="55">
        <f>ROUND(I17*J17,0)</f>
        <v>-2876085</v>
      </c>
      <c r="L17" s="154">
        <f>N10</f>
        <v>39506</v>
      </c>
      <c r="M17" s="55">
        <f>VLOOKUP(L17,ADJUSTTABLE,2)</f>
        <v>12978723</v>
      </c>
      <c r="N17" s="55">
        <f>VLOOKUP(L17,ADJUSTTABLE,4)</f>
        <v>0</v>
      </c>
      <c r="O17" s="55">
        <f>SUM(M17:N17)</f>
        <v>12978723</v>
      </c>
      <c r="P17" s="156">
        <f>VLOOKUP(N10,raaabatable,2)</f>
        <v>0</v>
      </c>
      <c r="Q17" s="55">
        <f>ROUND(O17*P17,0)</f>
        <v>0</v>
      </c>
      <c r="R17" s="154">
        <f>T10+2</f>
        <v>39778</v>
      </c>
      <c r="S17" s="55">
        <f>VLOOKUP(R17,ADJUSTTABLE,2)</f>
        <v>1911247.6</v>
      </c>
      <c r="T17" s="55">
        <f>VLOOKUP(R17,ADJUSTTABLE,4)</f>
        <v>0</v>
      </c>
      <c r="U17" s="55">
        <f>SUM(S17:T17)</f>
        <v>1911247.6</v>
      </c>
      <c r="V17" s="156">
        <f>VLOOKUP(T10,raaabatable,4)</f>
        <v>0</v>
      </c>
      <c r="W17" s="55">
        <f>ROUND(U17*V17,0)</f>
        <v>0</v>
      </c>
    </row>
    <row r="18" spans="1:21" ht="12.75" customHeight="1">
      <c r="A18" s="45"/>
      <c r="B18" s="4" t="s">
        <v>254</v>
      </c>
      <c r="D18" s="42"/>
      <c r="E18" s="47"/>
      <c r="G18" s="55"/>
      <c r="H18" s="55"/>
      <c r="I18" s="55"/>
      <c r="M18" s="55"/>
      <c r="N18" s="55"/>
      <c r="O18" s="55"/>
      <c r="S18" s="55"/>
      <c r="T18" s="55"/>
      <c r="U18" s="55"/>
    </row>
    <row r="19" spans="1:23" ht="12.75" customHeight="1">
      <c r="A19" s="45"/>
      <c r="B19" s="4" t="s">
        <v>255</v>
      </c>
      <c r="D19" s="42"/>
      <c r="E19" s="47"/>
      <c r="F19" s="157">
        <f>SUM(F17+30)</f>
        <v>39536</v>
      </c>
      <c r="G19" s="55">
        <f>VLOOKUP(F19,ADJUSTTABLE,2)</f>
        <v>12690788</v>
      </c>
      <c r="H19" s="55">
        <f>VLOOKUP(F19,ADJUSTTABLE,4)</f>
        <v>0</v>
      </c>
      <c r="I19" s="55">
        <f>SUM(G19:H19)</f>
        <v>12690788</v>
      </c>
      <c r="J19" s="158">
        <f>J$17</f>
        <v>-0.2216</v>
      </c>
      <c r="K19" s="55">
        <f>ROUND(I19*J19,0)</f>
        <v>-2812279</v>
      </c>
      <c r="L19" s="157">
        <f>SUM(L17+30)</f>
        <v>39536</v>
      </c>
      <c r="M19" s="55">
        <f>VLOOKUP(L19,ADJUSTTABLE,2)</f>
        <v>12690788</v>
      </c>
      <c r="N19" s="55">
        <f>VLOOKUP(L19,ADJUSTTABLE,4)</f>
        <v>0</v>
      </c>
      <c r="O19" s="55">
        <f>SUM(M19:N19)</f>
        <v>12690788</v>
      </c>
      <c r="P19" s="4">
        <f>P$17</f>
        <v>0</v>
      </c>
      <c r="Q19" s="55">
        <f>ROUND(O19*P19,0)</f>
        <v>0</v>
      </c>
      <c r="R19" s="157">
        <f>SUM(R17+31)</f>
        <v>39809</v>
      </c>
      <c r="S19" s="55">
        <f>VLOOKUP(R19,ADJUSTTABLE,2)</f>
        <v>5386264.3</v>
      </c>
      <c r="T19" s="55">
        <f>VLOOKUP(R19,ADJUSTTABLE,4)</f>
        <v>0</v>
      </c>
      <c r="U19" s="55">
        <f>SUM(S19:T19)</f>
        <v>5386264.3</v>
      </c>
      <c r="V19" s="4">
        <f>V$17</f>
        <v>0</v>
      </c>
      <c r="W19" s="55">
        <f>ROUND(U19*V19,0)</f>
        <v>0</v>
      </c>
    </row>
    <row r="20" spans="1:21" ht="12.75" customHeight="1">
      <c r="A20" s="45"/>
      <c r="D20" s="42"/>
      <c r="E20" s="47"/>
      <c r="G20" s="55"/>
      <c r="H20" s="55"/>
      <c r="I20" s="55"/>
      <c r="M20" s="55"/>
      <c r="N20" s="55"/>
      <c r="O20" s="55"/>
      <c r="S20" s="55"/>
      <c r="T20" s="55"/>
      <c r="U20" s="55"/>
    </row>
    <row r="21" spans="1:23" ht="12.75" customHeight="1">
      <c r="A21" s="45"/>
      <c r="B21" s="4" t="s">
        <v>223</v>
      </c>
      <c r="D21" s="80" t="s">
        <v>17</v>
      </c>
      <c r="E21" s="139">
        <f>K44</f>
        <v>-106316</v>
      </c>
      <c r="F21" s="157">
        <f>SUM(F19+30)</f>
        <v>39566</v>
      </c>
      <c r="G21" s="55">
        <f>VLOOKUP(F21,ADJUSTTABLE,2)</f>
        <v>7905968.9</v>
      </c>
      <c r="H21" s="55">
        <f>VLOOKUP(F21,ADJUSTTABLE,4)</f>
        <v>0</v>
      </c>
      <c r="I21" s="55">
        <f>SUM(G21:H21)</f>
        <v>7905968.9</v>
      </c>
      <c r="J21" s="158">
        <f>J$17</f>
        <v>-0.2216</v>
      </c>
      <c r="K21" s="55">
        <f>ROUND(I21*J21,0)</f>
        <v>-1751963</v>
      </c>
      <c r="L21" s="157">
        <f>SUM(L19+30)</f>
        <v>39566</v>
      </c>
      <c r="M21" s="55">
        <f>VLOOKUP(L21,ADJUSTTABLE,2)</f>
        <v>7905968.9</v>
      </c>
      <c r="N21" s="55">
        <f>VLOOKUP(L21,ADJUSTTABLE,4)</f>
        <v>0</v>
      </c>
      <c r="O21" s="55">
        <f>SUM(M21:N21)</f>
        <v>7905968.9</v>
      </c>
      <c r="P21" s="4">
        <f>P$17</f>
        <v>0</v>
      </c>
      <c r="Q21" s="55">
        <f>ROUND(O21*P21,0)</f>
        <v>0</v>
      </c>
      <c r="R21" s="157">
        <f>SUM(R19+31)</f>
        <v>39840</v>
      </c>
      <c r="S21" s="101">
        <f>VLOOKUP(R21,ADJUSTTABLE,2)</f>
        <v>10902127.3</v>
      </c>
      <c r="T21" s="101">
        <f>VLOOKUP(R21,ADJUSTTABLE,4)</f>
        <v>0</v>
      </c>
      <c r="U21" s="101">
        <f>SUM(S21:T21)</f>
        <v>10902127.3</v>
      </c>
      <c r="V21" s="4">
        <f>V$17</f>
        <v>0</v>
      </c>
      <c r="W21" s="101">
        <f>ROUND(U21*V21,0)</f>
        <v>0</v>
      </c>
    </row>
    <row r="22" spans="1:21" ht="12.75" customHeight="1">
      <c r="A22" s="45"/>
      <c r="D22" s="42"/>
      <c r="E22" s="47"/>
      <c r="G22" s="55"/>
      <c r="H22" s="55"/>
      <c r="I22" s="55"/>
      <c r="M22" s="55"/>
      <c r="N22" s="55"/>
      <c r="O22" s="55"/>
      <c r="S22" s="55"/>
      <c r="T22" s="55"/>
      <c r="U22" s="55"/>
    </row>
    <row r="23" spans="1:23" ht="12.75" customHeight="1">
      <c r="A23" s="45"/>
      <c r="D23" s="42"/>
      <c r="E23" s="47"/>
      <c r="F23" s="157">
        <f>SUM(F21+30)</f>
        <v>39596</v>
      </c>
      <c r="G23" s="55">
        <f>VLOOKUP(F23,ADJUSTTABLE,2)</f>
        <v>3146258.5</v>
      </c>
      <c r="H23" s="55">
        <f>VLOOKUP(F23,ADJUSTTABLE,4)</f>
        <v>0</v>
      </c>
      <c r="I23" s="55">
        <f>SUM(G23:H23)</f>
        <v>3146258.5</v>
      </c>
      <c r="J23" s="158">
        <f>J$17</f>
        <v>-0.2216</v>
      </c>
      <c r="K23" s="55">
        <f>ROUND(I23*J23,0)</f>
        <v>-697211</v>
      </c>
      <c r="L23" s="157">
        <f>SUM(L21+30)</f>
        <v>39596</v>
      </c>
      <c r="M23" s="55">
        <f>VLOOKUP(L23,ADJUSTTABLE,2)</f>
        <v>3146258.5</v>
      </c>
      <c r="N23" s="55">
        <f>VLOOKUP(L23,ADJUSTTABLE,4)</f>
        <v>0</v>
      </c>
      <c r="O23" s="55">
        <f>SUM(M23:N23)</f>
        <v>3146258.5</v>
      </c>
      <c r="P23" s="4">
        <f>P$17</f>
        <v>0</v>
      </c>
      <c r="Q23" s="55">
        <f>ROUND(O23*P23,0)</f>
        <v>0</v>
      </c>
      <c r="R23" s="157" t="s">
        <v>245</v>
      </c>
      <c r="S23" s="55">
        <f>SUM(S17:S21)</f>
        <v>18199639.200000003</v>
      </c>
      <c r="T23" s="55">
        <f>SUM(T17:T21)</f>
        <v>0</v>
      </c>
      <c r="U23" s="55">
        <f>SUM(U17:U21)</f>
        <v>18199639.200000003</v>
      </c>
      <c r="W23" s="101">
        <f>SUM(W17:W21)</f>
        <v>0</v>
      </c>
    </row>
    <row r="24" spans="1:24" ht="12.75" customHeight="1">
      <c r="A24" s="45" t="s">
        <v>256</v>
      </c>
      <c r="D24" s="42"/>
      <c r="E24" s="47"/>
      <c r="G24" s="55"/>
      <c r="H24" s="55"/>
      <c r="I24" s="55"/>
      <c r="M24" s="55"/>
      <c r="N24" s="55"/>
      <c r="O24" s="55"/>
      <c r="R24" s="159"/>
      <c r="S24" s="160"/>
      <c r="T24" s="160"/>
      <c r="U24" s="160"/>
      <c r="V24" s="161"/>
      <c r="W24" s="162"/>
      <c r="X24" s="159"/>
    </row>
    <row r="25" spans="1:23" ht="12.75" customHeight="1" thickBot="1">
      <c r="A25" s="45"/>
      <c r="B25" s="4" t="s">
        <v>257</v>
      </c>
      <c r="D25" s="42"/>
      <c r="E25" s="47"/>
      <c r="F25" s="157">
        <f>SUM(F23+30)</f>
        <v>39626</v>
      </c>
      <c r="G25" s="55">
        <f>VLOOKUP(F25,ADJUSTTABLE,2)</f>
        <v>2055549.7</v>
      </c>
      <c r="H25" s="55">
        <f>VLOOKUP(F25,ADJUSTTABLE,4)</f>
        <v>0</v>
      </c>
      <c r="I25" s="55">
        <f>SUM(G25:H25)</f>
        <v>2055549.7</v>
      </c>
      <c r="J25" s="158">
        <f>J$17</f>
        <v>-0.2216</v>
      </c>
      <c r="K25" s="55">
        <f>ROUND(I25*J25,0)</f>
        <v>-455510</v>
      </c>
      <c r="L25" s="157">
        <f>SUM(L23+30)</f>
        <v>39626</v>
      </c>
      <c r="M25" s="55">
        <f>VLOOKUP(L25,ADJUSTTABLE,2)</f>
        <v>2055549.7</v>
      </c>
      <c r="N25" s="55">
        <f>VLOOKUP(L25,ADJUSTTABLE,4)</f>
        <v>0</v>
      </c>
      <c r="O25" s="55">
        <f>SUM(M25:N25)</f>
        <v>2055549.7</v>
      </c>
      <c r="P25" s="4">
        <f>P$17</f>
        <v>0</v>
      </c>
      <c r="Q25" s="55">
        <f>ROUND(O25*P25,0)</f>
        <v>0</v>
      </c>
      <c r="R25" s="157" t="s">
        <v>225</v>
      </c>
      <c r="S25" s="55"/>
      <c r="T25" s="55"/>
      <c r="U25" s="55"/>
      <c r="W25" s="163">
        <f>SUM(W10-W23)+W24</f>
        <v>0</v>
      </c>
    </row>
    <row r="26" spans="1:21" ht="12.75" customHeight="1" thickTop="1">
      <c r="A26" s="45"/>
      <c r="B26" s="4" t="s">
        <v>258</v>
      </c>
      <c r="D26" s="42"/>
      <c r="E26" s="153" t="s">
        <v>236</v>
      </c>
      <c r="G26" s="55"/>
      <c r="H26" s="55"/>
      <c r="I26" s="55"/>
      <c r="M26" s="55"/>
      <c r="N26" s="55"/>
      <c r="O26" s="55"/>
      <c r="R26" s="4" t="s">
        <v>259</v>
      </c>
      <c r="S26" s="55"/>
      <c r="T26" s="55"/>
      <c r="U26" s="55"/>
    </row>
    <row r="27" spans="1:23" ht="12.75" customHeight="1">
      <c r="A27" s="45"/>
      <c r="D27" s="42"/>
      <c r="E27" s="153" t="s">
        <v>241</v>
      </c>
      <c r="F27" s="157">
        <f>SUM(F25+31)</f>
        <v>39657</v>
      </c>
      <c r="G27" s="55">
        <f>VLOOKUP(F27,ADJUSTTABLE,2)</f>
        <v>1307746.6</v>
      </c>
      <c r="H27" s="55">
        <f>VLOOKUP(F27,ADJUSTTABLE,4)</f>
        <v>0</v>
      </c>
      <c r="I27" s="55">
        <f>SUM(G27:H27)</f>
        <v>1307746.6</v>
      </c>
      <c r="J27" s="158">
        <f>J$17</f>
        <v>-0.2216</v>
      </c>
      <c r="K27" s="55">
        <f>ROUND(I27*J27,0)</f>
        <v>-289797</v>
      </c>
      <c r="L27" s="157">
        <f>SUM(L25+31)</f>
        <v>39657</v>
      </c>
      <c r="M27" s="55">
        <f>VLOOKUP(L27,ADJUSTTABLE,2)</f>
        <v>1307746.6</v>
      </c>
      <c r="N27" s="55">
        <f>VLOOKUP(L27,ADJUSTTABLE,4)</f>
        <v>0</v>
      </c>
      <c r="O27" s="55">
        <f>SUM(M27:N27)</f>
        <v>1307746.6</v>
      </c>
      <c r="P27" s="4">
        <f>P$17</f>
        <v>0</v>
      </c>
      <c r="Q27" s="55">
        <f>ROUND(O27*P27,0)</f>
        <v>0</v>
      </c>
      <c r="R27" s="147" t="s">
        <v>260</v>
      </c>
      <c r="S27" s="55"/>
      <c r="T27" s="55"/>
      <c r="U27" s="55"/>
      <c r="W27" s="55"/>
    </row>
    <row r="28" spans="1:21" ht="12.75" customHeight="1">
      <c r="A28" s="45" t="s">
        <v>261</v>
      </c>
      <c r="D28" s="42"/>
      <c r="E28" s="153" t="s">
        <v>14</v>
      </c>
      <c r="G28" s="55"/>
      <c r="H28" s="55"/>
      <c r="I28" s="55"/>
      <c r="M28" s="55"/>
      <c r="N28" s="55"/>
      <c r="O28" s="55"/>
      <c r="R28" s="147" t="s">
        <v>262</v>
      </c>
      <c r="T28" s="55"/>
      <c r="U28" s="55"/>
    </row>
    <row r="29" spans="1:23" ht="12.75" customHeight="1">
      <c r="A29" s="45"/>
      <c r="B29" s="4" t="s">
        <v>263</v>
      </c>
      <c r="D29" s="42"/>
      <c r="E29" s="164" t="s">
        <v>217</v>
      </c>
      <c r="F29" s="157">
        <f>SUM(F27+31)</f>
        <v>39688</v>
      </c>
      <c r="G29" s="55">
        <f>VLOOKUP(F29,ADJUSTTABLE,2)</f>
        <v>1255253.5</v>
      </c>
      <c r="H29" s="55">
        <f>VLOOKUP(F29,ADJUSTTABLE,4)</f>
        <v>0</v>
      </c>
      <c r="I29" s="55">
        <f>SUM(G29:H29)</f>
        <v>1255253.5</v>
      </c>
      <c r="J29" s="158">
        <f>J$17</f>
        <v>-0.2216</v>
      </c>
      <c r="K29" s="55">
        <f>ROUND(I29*J29,0)</f>
        <v>-278164</v>
      </c>
      <c r="L29" s="157">
        <f>SUM(L27+31)</f>
        <v>39688</v>
      </c>
      <c r="M29" s="55">
        <f>VLOOKUP(L29,ADJUSTTABLE,2)</f>
        <v>1255253.5</v>
      </c>
      <c r="N29" s="55">
        <f>VLOOKUP(L29,ADJUSTTABLE,4)</f>
        <v>0</v>
      </c>
      <c r="O29" s="55">
        <f>SUM(M29:N29)</f>
        <v>1255253.5</v>
      </c>
      <c r="P29" s="4">
        <f>P$17</f>
        <v>0</v>
      </c>
      <c r="Q29" s="55">
        <f>ROUND(O29*P29,0)</f>
        <v>0</v>
      </c>
      <c r="R29" s="157"/>
      <c r="S29" s="55"/>
      <c r="T29" s="55"/>
      <c r="U29" s="55"/>
      <c r="W29" s="55"/>
    </row>
    <row r="30" spans="1:21" ht="12.75" customHeight="1">
      <c r="A30" s="45"/>
      <c r="B30" s="4" t="s">
        <v>264</v>
      </c>
      <c r="D30" s="42"/>
      <c r="E30" s="153" t="s">
        <v>265</v>
      </c>
      <c r="G30" s="55"/>
      <c r="H30" s="55"/>
      <c r="I30" s="55"/>
      <c r="M30" s="55"/>
      <c r="N30" s="55"/>
      <c r="O30" s="55"/>
      <c r="S30" s="55"/>
      <c r="T30" s="55"/>
      <c r="U30" s="55"/>
    </row>
    <row r="31" spans="1:23" ht="12.75" customHeight="1">
      <c r="A31" s="45"/>
      <c r="B31" s="4" t="s">
        <v>266</v>
      </c>
      <c r="D31" s="42"/>
      <c r="E31" s="47"/>
      <c r="F31" s="157">
        <f>SUM(F29+31)</f>
        <v>39719</v>
      </c>
      <c r="G31" s="55">
        <f>VLOOKUP(F31,ADJUSTTABLE,2)</f>
        <v>1319594</v>
      </c>
      <c r="H31" s="55">
        <f>VLOOKUP(F31,ADJUSTTABLE,4)</f>
        <v>0</v>
      </c>
      <c r="I31" s="55">
        <f>SUM(G31:H31)</f>
        <v>1319594</v>
      </c>
      <c r="J31" s="158">
        <f>J$17</f>
        <v>-0.2216</v>
      </c>
      <c r="K31" s="55">
        <f>ROUND(I31*J31,0)</f>
        <v>-292422</v>
      </c>
      <c r="L31" s="157">
        <f>SUM(L29+31)</f>
        <v>39719</v>
      </c>
      <c r="M31" s="55">
        <f>VLOOKUP(L31,ADJUSTTABLE,2)</f>
        <v>1319594</v>
      </c>
      <c r="N31" s="55">
        <f>VLOOKUP(L31,ADJUSTTABLE,4)</f>
        <v>0</v>
      </c>
      <c r="O31" s="55">
        <f>SUM(M31:N31)</f>
        <v>1319594</v>
      </c>
      <c r="P31" s="4">
        <f>P$17</f>
        <v>0</v>
      </c>
      <c r="Q31" s="55">
        <f>ROUND(O31*P31,0)</f>
        <v>0</v>
      </c>
      <c r="R31" s="157"/>
      <c r="S31" s="55"/>
      <c r="T31" s="55"/>
      <c r="U31" s="55"/>
      <c r="W31" s="55"/>
    </row>
    <row r="32" spans="1:21" ht="12.75" customHeight="1">
      <c r="A32" s="45"/>
      <c r="B32" s="4" t="s">
        <v>254</v>
      </c>
      <c r="D32" s="42"/>
      <c r="E32" s="47"/>
      <c r="G32" s="55"/>
      <c r="H32" s="55"/>
      <c r="I32" s="55"/>
      <c r="M32" s="55"/>
      <c r="N32" s="55"/>
      <c r="O32" s="55"/>
      <c r="S32" s="55"/>
      <c r="T32" s="55"/>
      <c r="U32" s="55"/>
    </row>
    <row r="33" spans="1:23" ht="12.75" customHeight="1">
      <c r="A33" s="45"/>
      <c r="B33" s="4" t="s">
        <v>255</v>
      </c>
      <c r="D33" s="42"/>
      <c r="E33" s="47"/>
      <c r="F33" s="157">
        <f>SUM(F31+31)</f>
        <v>39750</v>
      </c>
      <c r="G33" s="55">
        <f>VLOOKUP(F33,ADJUSTTABLE,2)</f>
        <v>1911247.6</v>
      </c>
      <c r="H33" s="55">
        <f>VLOOKUP(F33,ADJUSTTABLE,4)</f>
        <v>0</v>
      </c>
      <c r="I33" s="55">
        <f>SUM(G33:H33)</f>
        <v>1911247.6</v>
      </c>
      <c r="J33" s="158">
        <f>J$17</f>
        <v>-0.2216</v>
      </c>
      <c r="K33" s="55">
        <f>ROUND(I33*J33,0)</f>
        <v>-423532</v>
      </c>
      <c r="L33" s="157">
        <f>SUM(L31+31)</f>
        <v>39750</v>
      </c>
      <c r="M33" s="55">
        <f>VLOOKUP(L33,ADJUSTTABLE,2)</f>
        <v>1911247.6</v>
      </c>
      <c r="N33" s="55">
        <f>VLOOKUP(L33,ADJUSTTABLE,4)</f>
        <v>0</v>
      </c>
      <c r="O33" s="55">
        <f>SUM(M33:N33)</f>
        <v>1911247.6</v>
      </c>
      <c r="P33" s="4">
        <f>P$17</f>
        <v>0</v>
      </c>
      <c r="Q33" s="55">
        <f>ROUND(O33*P33,0)</f>
        <v>0</v>
      </c>
      <c r="R33" s="157"/>
      <c r="S33" s="55"/>
      <c r="T33" s="55"/>
      <c r="U33" s="55"/>
      <c r="W33" s="55"/>
    </row>
    <row r="34" spans="1:21" ht="12.75" customHeight="1">
      <c r="A34" s="45"/>
      <c r="D34" s="42"/>
      <c r="E34" s="47"/>
      <c r="G34" s="55"/>
      <c r="H34" s="55"/>
      <c r="I34" s="55"/>
      <c r="M34" s="55"/>
      <c r="N34" s="55"/>
      <c r="O34" s="55"/>
      <c r="S34" s="55"/>
      <c r="T34" s="55"/>
      <c r="U34" s="55"/>
    </row>
    <row r="35" spans="1:23" ht="12.75" customHeight="1">
      <c r="A35" s="45"/>
      <c r="B35" s="4" t="s">
        <v>224</v>
      </c>
      <c r="D35" s="80" t="s">
        <v>17</v>
      </c>
      <c r="E35" s="139">
        <f>Q44</f>
        <v>-2134</v>
      </c>
      <c r="F35" s="157">
        <f>SUM(F33+31)</f>
        <v>39781</v>
      </c>
      <c r="G35" s="55">
        <f>VLOOKUP(F35,ADJUSTTABLE,2)</f>
        <v>5386264.3</v>
      </c>
      <c r="H35" s="55">
        <f>VLOOKUP(F35,ADJUSTTABLE,4)</f>
        <v>0</v>
      </c>
      <c r="I35" s="55">
        <f>SUM(G35:H35)</f>
        <v>5386264.3</v>
      </c>
      <c r="J35" s="158">
        <f>J$17</f>
        <v>-0.2216</v>
      </c>
      <c r="K35" s="55">
        <f>ROUND(I35*J35,0)</f>
        <v>-1193596</v>
      </c>
      <c r="L35" s="157">
        <f>SUM(L33+31)</f>
        <v>39781</v>
      </c>
      <c r="M35" s="55">
        <f>VLOOKUP(L35,ADJUSTTABLE,2)</f>
        <v>5386264.3</v>
      </c>
      <c r="N35" s="55">
        <f>VLOOKUP(L35,ADJUSTTABLE,4)</f>
        <v>0</v>
      </c>
      <c r="O35" s="55">
        <f>SUM(M35:N35)</f>
        <v>5386264.3</v>
      </c>
      <c r="P35" s="4">
        <f>P$17</f>
        <v>0</v>
      </c>
      <c r="Q35" s="55">
        <f>ROUND(O35*P35,0)</f>
        <v>0</v>
      </c>
      <c r="R35" s="157"/>
      <c r="S35" s="55"/>
      <c r="T35" s="55"/>
      <c r="U35" s="55"/>
      <c r="W35" s="55"/>
    </row>
    <row r="36" spans="1:21" ht="12.75" customHeight="1">
      <c r="A36" s="45"/>
      <c r="D36" s="42"/>
      <c r="E36" s="47"/>
      <c r="G36" s="55"/>
      <c r="H36" s="55"/>
      <c r="I36" s="55"/>
      <c r="M36" s="55"/>
      <c r="N36" s="55"/>
      <c r="O36" s="55"/>
      <c r="S36" s="55"/>
      <c r="T36" s="55"/>
      <c r="U36" s="55"/>
    </row>
    <row r="37" spans="1:23" ht="12.75" customHeight="1">
      <c r="A37" s="45"/>
      <c r="D37" s="42"/>
      <c r="E37" s="47"/>
      <c r="F37" s="157">
        <f>SUM(F35+31)</f>
        <v>39812</v>
      </c>
      <c r="G37" s="55">
        <f>VLOOKUP(F37,ADJUSTTABLE,2)</f>
        <v>10902127.3</v>
      </c>
      <c r="H37" s="55">
        <f>VLOOKUP(F37,ADJUSTTABLE,4)</f>
        <v>0</v>
      </c>
      <c r="I37" s="55">
        <f>SUM(G37:H37)</f>
        <v>10902127.3</v>
      </c>
      <c r="J37" s="158">
        <f>J$17</f>
        <v>-0.2216</v>
      </c>
      <c r="K37" s="55">
        <f>ROUND(I37*J37,0)</f>
        <v>-2415911</v>
      </c>
      <c r="L37" s="157">
        <f>SUM(L35+31)</f>
        <v>39812</v>
      </c>
      <c r="M37" s="55">
        <f>VLOOKUP(L37,ADJUSTTABLE,2)</f>
        <v>10902127.3</v>
      </c>
      <c r="N37" s="55">
        <f>VLOOKUP(L37,ADJUSTTABLE,4)</f>
        <v>0</v>
      </c>
      <c r="O37" s="55">
        <f>SUM(M37:N37)</f>
        <v>10902127.3</v>
      </c>
      <c r="P37" s="4">
        <f>P$17</f>
        <v>0</v>
      </c>
      <c r="Q37" s="55">
        <f>ROUND(O37*P37,0)</f>
        <v>0</v>
      </c>
      <c r="R37" s="157"/>
      <c r="S37" s="55"/>
      <c r="T37" s="55"/>
      <c r="U37" s="55"/>
      <c r="W37" s="55"/>
    </row>
    <row r="38" spans="1:21" ht="12.75" customHeight="1">
      <c r="A38" s="45" t="s">
        <v>267</v>
      </c>
      <c r="D38" s="42"/>
      <c r="E38" s="47"/>
      <c r="G38" s="55"/>
      <c r="H38" s="55"/>
      <c r="I38" s="55"/>
      <c r="M38" s="55"/>
      <c r="N38" s="55"/>
      <c r="O38" s="55"/>
      <c r="S38" s="55"/>
      <c r="T38" s="55"/>
      <c r="U38" s="55"/>
    </row>
    <row r="39" spans="1:23" ht="12.75" customHeight="1">
      <c r="A39" s="45"/>
      <c r="B39" s="4" t="s">
        <v>268</v>
      </c>
      <c r="D39" s="42"/>
      <c r="E39" s="153" t="s">
        <v>236</v>
      </c>
      <c r="F39" s="157">
        <f>SUM(F37+31)</f>
        <v>39843</v>
      </c>
      <c r="G39" s="101">
        <f>VLOOKUP(F39,ADJUSTTABLE,2)</f>
        <v>14248624.1</v>
      </c>
      <c r="H39" s="101">
        <f>VLOOKUP(F39,ADJUSTTABLE,4)</f>
        <v>0</v>
      </c>
      <c r="I39" s="101">
        <f>SUM(G39:H39)</f>
        <v>14248624.1</v>
      </c>
      <c r="J39" s="158">
        <f>J$17</f>
        <v>-0.2216</v>
      </c>
      <c r="K39" s="101">
        <f>ROUND(I39*J39,0)</f>
        <v>-3157495</v>
      </c>
      <c r="L39" s="157">
        <f>SUM(L37+31)</f>
        <v>39843</v>
      </c>
      <c r="M39" s="101">
        <f>VLOOKUP(L39,ADJUSTTABLE,2)</f>
        <v>14248624.1</v>
      </c>
      <c r="N39" s="101">
        <f>VLOOKUP(L39,ADJUSTTABLE,4)</f>
        <v>0</v>
      </c>
      <c r="O39" s="101">
        <f>SUM(M39:N39)</f>
        <v>14248624.1</v>
      </c>
      <c r="P39" s="4">
        <f>P$17</f>
        <v>0</v>
      </c>
      <c r="Q39" s="101">
        <f>ROUND(O39*P39,0)</f>
        <v>0</v>
      </c>
      <c r="R39" s="157"/>
      <c r="S39" s="101"/>
      <c r="T39" s="101"/>
      <c r="U39" s="101"/>
      <c r="W39" s="101"/>
    </row>
    <row r="40" spans="1:21" ht="12.75" customHeight="1">
      <c r="A40" s="45"/>
      <c r="D40" s="42"/>
      <c r="E40" s="153" t="s">
        <v>241</v>
      </c>
      <c r="F40" s="157"/>
      <c r="G40" s="101"/>
      <c r="H40" s="101"/>
      <c r="I40" s="101"/>
      <c r="J40" s="158"/>
      <c r="K40" s="101"/>
      <c r="L40" s="157"/>
      <c r="M40" s="101"/>
      <c r="N40" s="101"/>
      <c r="O40" s="101"/>
      <c r="Q40" s="101"/>
      <c r="S40" s="55"/>
      <c r="T40" s="55"/>
      <c r="U40" s="55"/>
    </row>
    <row r="41" spans="1:23" ht="12.75" customHeight="1">
      <c r="A41" s="45" t="s">
        <v>269</v>
      </c>
      <c r="D41" s="42"/>
      <c r="E41" s="153" t="s">
        <v>14</v>
      </c>
      <c r="G41" s="55"/>
      <c r="H41" s="55"/>
      <c r="I41" s="55"/>
      <c r="M41" s="55"/>
      <c r="N41" s="55"/>
      <c r="O41" s="55"/>
      <c r="S41" s="55"/>
      <c r="T41" s="55"/>
      <c r="U41" s="55"/>
      <c r="W41" s="101"/>
    </row>
    <row r="42" spans="1:17" ht="12.75" customHeight="1">
      <c r="A42" s="45"/>
      <c r="B42" s="4" t="s">
        <v>270</v>
      </c>
      <c r="D42" s="42"/>
      <c r="E42" s="153" t="s">
        <v>217</v>
      </c>
      <c r="F42" s="4" t="s">
        <v>245</v>
      </c>
      <c r="G42" s="55">
        <f>SUM(G17:G39)</f>
        <v>75108145.5</v>
      </c>
      <c r="H42" s="55">
        <f>SUM(H17:H39)</f>
        <v>0</v>
      </c>
      <c r="I42" s="55">
        <f>SUM(I17:I39)</f>
        <v>75108145.5</v>
      </c>
      <c r="K42" s="101">
        <f>SUM(K17:K39)</f>
        <v>-16643965</v>
      </c>
      <c r="L42" s="4" t="s">
        <v>245</v>
      </c>
      <c r="M42" s="55">
        <f>SUM(M17:M39)</f>
        <v>75108145.5</v>
      </c>
      <c r="N42" s="55">
        <f>SUM(N17:N39)</f>
        <v>0</v>
      </c>
      <c r="O42" s="55">
        <f>SUM(O17:O39)</f>
        <v>75108145.5</v>
      </c>
      <c r="Q42" s="101">
        <f>SUM(Q17:Q39)</f>
        <v>0</v>
      </c>
    </row>
    <row r="43" spans="1:23" ht="12.75" customHeight="1">
      <c r="A43" s="45"/>
      <c r="B43" s="4" t="s">
        <v>271</v>
      </c>
      <c r="D43" s="42"/>
      <c r="E43" s="153" t="s">
        <v>272</v>
      </c>
      <c r="W43" s="165"/>
    </row>
    <row r="44" spans="1:17" ht="12.75" customHeight="1" thickBot="1">
      <c r="A44" s="45"/>
      <c r="B44" s="4" t="s">
        <v>273</v>
      </c>
      <c r="D44" s="42"/>
      <c r="E44" s="47"/>
      <c r="F44" s="4" t="s">
        <v>223</v>
      </c>
      <c r="K44" s="166">
        <f>SUM(K10-K42)</f>
        <v>-106316</v>
      </c>
      <c r="L44" s="4" t="s">
        <v>224</v>
      </c>
      <c r="Q44" s="166">
        <f>SUM(Q10-Q42)</f>
        <v>-2134</v>
      </c>
    </row>
    <row r="45" spans="1:5" ht="12.75" customHeight="1" thickTop="1">
      <c r="A45" s="45"/>
      <c r="B45" s="4" t="s">
        <v>274</v>
      </c>
      <c r="D45" s="42"/>
      <c r="E45" s="47"/>
    </row>
    <row r="46" spans="1:12" ht="12.75" customHeight="1">
      <c r="A46" s="45"/>
      <c r="D46" s="42"/>
      <c r="E46" s="47"/>
      <c r="F46" s="147" t="s">
        <v>260</v>
      </c>
      <c r="L46" s="147" t="s">
        <v>260</v>
      </c>
    </row>
    <row r="47" spans="1:12" ht="12.75" customHeight="1">
      <c r="A47" s="45"/>
      <c r="B47" s="4" t="s">
        <v>225</v>
      </c>
      <c r="D47" s="80" t="s">
        <v>17</v>
      </c>
      <c r="E47" s="139">
        <f>W25</f>
        <v>0</v>
      </c>
      <c r="F47" s="147" t="s">
        <v>262</v>
      </c>
      <c r="L47" s="147" t="s">
        <v>262</v>
      </c>
    </row>
    <row r="48" spans="1:5" ht="12.75" customHeight="1">
      <c r="A48" s="45"/>
      <c r="D48" s="42"/>
      <c r="E48" s="167"/>
    </row>
    <row r="49" spans="1:5" ht="12.75" customHeight="1">
      <c r="A49" s="40"/>
      <c r="B49" s="8" t="s">
        <v>275</v>
      </c>
      <c r="C49" s="8"/>
      <c r="D49" s="126" t="s">
        <v>17</v>
      </c>
      <c r="E49" s="139">
        <f>SUM(E47+E35+E21)</f>
        <v>-108450</v>
      </c>
    </row>
  </sheetData>
  <mergeCells count="1">
    <mergeCell ref="L3:Q3"/>
  </mergeCells>
  <printOptions horizontalCentered="1"/>
  <pageMargins left="0.5" right="0.5" top="1" bottom="0.75" header="0.5" footer="0.5"/>
  <pageSetup horizontalDpi="300" verticalDpi="300" orientation="portrait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E39"/>
  <sheetViews>
    <sheetView workbookViewId="0" topLeftCell="A1">
      <selection activeCell="B28" sqref="B28"/>
    </sheetView>
  </sheetViews>
  <sheetFormatPr defaultColWidth="9.140625" defaultRowHeight="12.75" customHeight="1"/>
  <cols>
    <col min="1" max="1" width="5.57421875" style="4" customWidth="1"/>
    <col min="2" max="2" width="2.421875" style="4" customWidth="1"/>
    <col min="3" max="3" width="15.140625" style="4" customWidth="1"/>
    <col min="4" max="4" width="53.00390625" style="4" customWidth="1"/>
    <col min="5" max="5" width="12.7109375" style="4" customWidth="1"/>
    <col min="6" max="6" width="32.28125" style="4" customWidth="1"/>
    <col min="7" max="16384" width="9.140625" style="4" customWidth="1"/>
  </cols>
  <sheetData>
    <row r="1" spans="1:5" ht="12.75" customHeight="1">
      <c r="A1" s="2" t="s">
        <v>1</v>
      </c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12.75" customHeight="1">
      <c r="A3" s="2" t="s">
        <v>276</v>
      </c>
      <c r="B3" s="2"/>
      <c r="C3" s="2"/>
      <c r="D3" s="2"/>
      <c r="E3" s="2"/>
    </row>
    <row r="4" spans="1:5" ht="12.75" customHeight="1">
      <c r="A4" s="2" t="s">
        <v>277</v>
      </c>
      <c r="B4" s="2"/>
      <c r="C4" s="2"/>
      <c r="D4" s="2"/>
      <c r="E4" s="2"/>
    </row>
    <row r="5" spans="1:5" ht="12.75" customHeight="1">
      <c r="A5" s="105">
        <f>'[1]Instruct &amp; Input'!C10</f>
        <v>39932</v>
      </c>
      <c r="B5" s="2"/>
      <c r="C5" s="2"/>
      <c r="D5" s="2"/>
      <c r="E5" s="2"/>
    </row>
    <row r="7" spans="1:5" ht="12.75" customHeight="1">
      <c r="A7" s="168" t="s">
        <v>278</v>
      </c>
      <c r="B7" s="124"/>
      <c r="C7" s="124"/>
      <c r="D7" s="124"/>
      <c r="E7" s="124"/>
    </row>
    <row r="8" spans="1:5" ht="12.75" customHeight="1">
      <c r="A8" s="169" t="s">
        <v>279</v>
      </c>
      <c r="B8" s="124"/>
      <c r="C8" s="124"/>
      <c r="D8" s="124"/>
      <c r="E8" s="169" t="s">
        <v>6</v>
      </c>
    </row>
    <row r="10" spans="1:3" ht="12.75" customHeight="1">
      <c r="A10" s="4">
        <v>1</v>
      </c>
      <c r="C10" s="170" t="s">
        <v>280</v>
      </c>
    </row>
    <row r="12" spans="1:5" ht="12.75" customHeight="1">
      <c r="A12" s="4">
        <f>A10+1</f>
        <v>2</v>
      </c>
      <c r="C12" s="4" t="s">
        <v>281</v>
      </c>
      <c r="E12" s="59">
        <f>'Summ File'!F18</f>
        <v>125833312</v>
      </c>
    </row>
    <row r="13" spans="1:5" ht="12.75" customHeight="1">
      <c r="A13" s="4">
        <f>A12+1</f>
        <v>3</v>
      </c>
      <c r="C13" s="4" t="s">
        <v>282</v>
      </c>
      <c r="E13" s="55">
        <f>'Summ File'!F19</f>
        <v>85391000</v>
      </c>
    </row>
    <row r="15" spans="1:5" ht="12.75" customHeight="1">
      <c r="A15" s="4">
        <f>A13+1</f>
        <v>4</v>
      </c>
      <c r="C15" s="4" t="s">
        <v>283</v>
      </c>
      <c r="E15" s="171">
        <f>ROUND(E12/E13,4)*100</f>
        <v>147.36</v>
      </c>
    </row>
    <row r="16" spans="1:5" ht="12.75" customHeight="1">
      <c r="A16" s="46"/>
      <c r="B16" s="46"/>
      <c r="C16" s="46"/>
      <c r="D16" s="172"/>
      <c r="E16" s="173"/>
    </row>
    <row r="17" spans="1:5" ht="12.75" customHeight="1">
      <c r="A17" s="46"/>
      <c r="B17" s="46"/>
      <c r="C17" s="46"/>
      <c r="D17" s="46"/>
      <c r="E17" s="174"/>
    </row>
    <row r="18" spans="1:5" ht="12.75" customHeight="1">
      <c r="A18" s="46"/>
      <c r="B18" s="46"/>
      <c r="C18" s="46"/>
      <c r="D18" s="46"/>
      <c r="E18" s="175"/>
    </row>
    <row r="19" spans="1:5" ht="12.75" customHeight="1">
      <c r="A19" s="46"/>
      <c r="B19" s="46"/>
      <c r="C19" s="46"/>
      <c r="D19" s="46"/>
      <c r="E19" s="176"/>
    </row>
    <row r="20" ht="12.75" customHeight="1">
      <c r="E20" s="177"/>
    </row>
    <row r="21" ht="12.75" customHeight="1">
      <c r="E21" s="177"/>
    </row>
    <row r="22" ht="12.75" customHeight="1">
      <c r="E22" s="177"/>
    </row>
    <row r="23" spans="1:5" ht="12.75" customHeight="1">
      <c r="A23" s="4">
        <f>A15+1</f>
        <v>5</v>
      </c>
      <c r="C23" s="178">
        <v>0.1</v>
      </c>
      <c r="D23" s="4" t="s">
        <v>280</v>
      </c>
      <c r="E23" s="179">
        <f>ROUND($E$15*C23,2)</f>
        <v>14.74</v>
      </c>
    </row>
    <row r="24" ht="12.75" customHeight="1">
      <c r="C24" s="15"/>
    </row>
    <row r="25" spans="1:5" ht="12.75" customHeight="1">
      <c r="A25" s="4">
        <f>A23+1</f>
        <v>6</v>
      </c>
      <c r="C25" s="178">
        <v>0.2</v>
      </c>
      <c r="D25" s="4" t="s">
        <v>280</v>
      </c>
      <c r="E25" s="179">
        <f>ROUND($E$15*C25,2)</f>
        <v>29.47</v>
      </c>
    </row>
    <row r="26" ht="12.75" customHeight="1">
      <c r="C26" s="15"/>
    </row>
    <row r="27" spans="1:5" ht="12.75" customHeight="1">
      <c r="A27" s="4">
        <f>A25+1</f>
        <v>7</v>
      </c>
      <c r="C27" s="178">
        <v>0.3</v>
      </c>
      <c r="D27" s="4" t="s">
        <v>280</v>
      </c>
      <c r="E27" s="179">
        <f>ROUND($E$15*C27,2)</f>
        <v>44.21</v>
      </c>
    </row>
    <row r="28" ht="12.75" customHeight="1">
      <c r="C28" s="15"/>
    </row>
    <row r="29" spans="1:5" ht="12.75" customHeight="1">
      <c r="A29" s="4">
        <f>A27+1</f>
        <v>8</v>
      </c>
      <c r="C29" s="178">
        <v>0.4</v>
      </c>
      <c r="D29" s="4" t="s">
        <v>280</v>
      </c>
      <c r="E29" s="179">
        <f>ROUND($E$15*C29,2)</f>
        <v>58.94</v>
      </c>
    </row>
    <row r="30" ht="12.75" customHeight="1">
      <c r="C30" s="15"/>
    </row>
    <row r="31" spans="1:5" ht="12.75" customHeight="1">
      <c r="A31" s="4">
        <f>A29+1</f>
        <v>9</v>
      </c>
      <c r="C31" s="178">
        <v>0.5</v>
      </c>
      <c r="D31" s="4" t="s">
        <v>280</v>
      </c>
      <c r="E31" s="179">
        <f>ROUND($E$15*C31,2)</f>
        <v>73.68</v>
      </c>
    </row>
    <row r="32" ht="12.75" customHeight="1">
      <c r="C32" s="15"/>
    </row>
    <row r="33" spans="1:5" ht="12.75" customHeight="1">
      <c r="A33" s="4">
        <f>A31+1</f>
        <v>10</v>
      </c>
      <c r="C33" s="178">
        <v>0.6</v>
      </c>
      <c r="D33" s="4" t="s">
        <v>280</v>
      </c>
      <c r="E33" s="179">
        <f>ROUND($E$15*C33,2)</f>
        <v>88.42</v>
      </c>
    </row>
    <row r="34" ht="12.75" customHeight="1">
      <c r="C34" s="15"/>
    </row>
    <row r="35" spans="1:5" ht="12.75" customHeight="1">
      <c r="A35" s="4">
        <f>A33+1</f>
        <v>11</v>
      </c>
      <c r="C35" s="178">
        <v>0.7</v>
      </c>
      <c r="D35" s="4" t="s">
        <v>280</v>
      </c>
      <c r="E35" s="179">
        <f>ROUND($E$15*C35,2)</f>
        <v>103.15</v>
      </c>
    </row>
    <row r="36" spans="3:4" ht="12.75" customHeight="1">
      <c r="C36" s="15"/>
      <c r="D36" s="4" t="s">
        <v>284</v>
      </c>
    </row>
    <row r="37" spans="1:5" ht="12.75" customHeight="1">
      <c r="A37" s="4">
        <f>A35+1</f>
        <v>12</v>
      </c>
      <c r="C37" s="178">
        <v>0.8</v>
      </c>
      <c r="D37" s="4" t="s">
        <v>280</v>
      </c>
      <c r="E37" s="179">
        <f>ROUND($E$15*C37,2)</f>
        <v>117.89</v>
      </c>
    </row>
    <row r="38" ht="12.75" customHeight="1">
      <c r="C38" s="15"/>
    </row>
    <row r="39" spans="1:5" ht="12.75" customHeight="1">
      <c r="A39" s="4">
        <f>A37+1</f>
        <v>13</v>
      </c>
      <c r="C39" s="178">
        <v>0.9</v>
      </c>
      <c r="D39" s="4" t="s">
        <v>280</v>
      </c>
      <c r="E39" s="179">
        <f>ROUND($E$15*C39,2)</f>
        <v>132.62</v>
      </c>
    </row>
    <row r="62" ht="15.7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NiSource</cp:lastModifiedBy>
  <dcterms:created xsi:type="dcterms:W3CDTF">2009-04-15T16:35:26Z</dcterms:created>
  <dcterms:modified xsi:type="dcterms:W3CDTF">2009-04-15T16:36:29Z</dcterms:modified>
  <cp:category/>
  <cp:version/>
  <cp:contentType/>
  <cp:contentStatus/>
</cp:coreProperties>
</file>