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Input'!$A$6:$AB$136</definedName>
    <definedName name="ADJUSTTABLE">'[1]Instruct &amp; Input'!$J$6:$M$125</definedName>
    <definedName name="ESTIMATEINJ">'[1]Actuals Input'!#REF!</definedName>
    <definedName name="ESTIMATES">'[1]Actuals Input'!#REF!</definedName>
    <definedName name="PIPTABLE">'[1]Instruct &amp; Input'!$G$6:$H$125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Input'!$AB$5:$AH$48</definedName>
    <definedName name="sched1">'[1]Sched 1A Work'!#REF!</definedName>
    <definedName name="summary">'Summ File'!$A$1:$F$47</definedName>
    <definedName name="TABLE242">'[1]242 Input'!$A$6:$R$111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(39408.20) for Feb, 33654.46 for Mar and (182402.65) for Apr.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<sst xmlns="http://schemas.openxmlformats.org/spreadsheetml/2006/main" count="1002" uniqueCount="287">
  <si>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</si>
  <si>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</si>
  <si>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</si>
  <si>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</si>
  <si>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</si>
  <si>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</si>
  <si>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</si>
  <si>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</si>
  <si>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</si>
  <si>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</si>
  <si>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</si>
  <si>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</si>
  <si>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</si>
  <si>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</si>
  <si>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</si>
  <si>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</si>
  <si>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</si>
  <si>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</si>
  <si>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</si>
  <si>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</si>
  <si>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</si>
  <si>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</si>
  <si>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</si>
  <si>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</si>
  <si>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</si>
  <si>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</si>
  <si>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</si>
  <si>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</si>
  <si>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</si>
  <si>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</si>
  <si>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</si>
  <si>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</si>
  <si>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</si>
  <si>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</si>
  <si>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</si>
  <si>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</si>
  <si>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</si>
  <si>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</si>
  <si>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</si>
  <si>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</si>
  <si>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</si>
  <si>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</si>
  <si>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</si>
  <si>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</si>
  <si>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</si>
  <si>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</si>
  <si>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</si>
  <si>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</si>
  <si>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</si>
  <si>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</si>
  <si>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</si>
  <si>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</si>
  <si>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</si>
  <si>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</si>
  <si>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</si>
  <si>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</si>
  <si>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</si>
  <si>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</si>
  <si>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</si>
  <si>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</si>
  <si>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</si>
  <si>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</si>
  <si>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</si>
  <si>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</si>
  <si>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</si>
  <si>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</si>
  <si>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</si>
  <si>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</si>
  <si>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</si>
  <si>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</si>
  <si>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</si>
  <si>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</si>
  <si>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</si>
  <si>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</si>
  <si>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</si>
  <si>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</si>
  <si>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</si>
  <si>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</si>
  <si>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</si>
  <si>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</si>
  <si>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</si>
  <si>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</si>
  <si>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</si>
  <si>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</si>
  <si>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</si>
  <si>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</si>
  <si>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</si>
  <si>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</si>
  <si>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</si>
  <si>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</si>
  <si>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</si>
  <si>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</si>
  <si>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</si>
  <si>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</si>
  <si>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</si>
  <si>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</si>
  <si>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</si>
  <si>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</si>
  <si>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</si>
  <si>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</si>
  <si>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</si>
  <si>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</si>
  <si>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</si>
  <si>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</si>
  <si>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</si>
  <si>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</si>
  <si>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</si>
  <si>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</si>
  <si>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</si>
  <si>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</si>
  <si>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</si>
  <si>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</si>
  <si>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</si>
  <si>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</si>
  <si>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</si>
  <si>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</si>
  <si>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</si>
  <si>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</si>
  <si>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</si>
  <si>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</si>
  <si>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</si>
  <si>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</si>
  <si>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</si>
  <si>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</si>
  <si>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</si>
  <si>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</si>
  <si>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</si>
  <si>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</si>
  <si>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</si>
  <si>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</si>
  <si>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</si>
  <si>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</si>
  <si>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</si>
  <si>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</si>
  <si>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</si>
  <si>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</si>
  <si>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</si>
  <si>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</si>
  <si>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</si>
  <si>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</si>
  <si>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</si>
  <si>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</si>
  <si>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</si>
  <si>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</si>
  <si>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</si>
  <si>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</si>
  <si>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</si>
  <si>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</si>
  <si>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</si>
  <si>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</si>
  <si>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</si>
  <si>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</si>
  <si>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</si>
  <si>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</si>
  <si>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</si>
  <si>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</si>
  <si>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</si>
  <si>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</si>
  <si>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</si>
  <si>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</si>
  <si>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</si>
  <si>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</si>
  <si>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</si>
  <si>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</si>
  <si>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</si>
  <si>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</si>
  <si>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</si>
  <si>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</si>
  <si>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</si>
  <si>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</si>
  <si>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</si>
  <si>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</si>
  <si>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</si>
  <si>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</si>
  <si>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</si>
  <si>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</si>
  <si>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</si>
  <si>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</si>
  <si>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</si>
  <si>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</si>
  <si>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</si>
  <si>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</si>
  <si>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</si>
  <si>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</si>
  <si>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</si>
  <si>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</si>
  <si>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</si>
  <si>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</si>
  <si>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</si>
  <si>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</si>
  <si>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</si>
  <si>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</si>
  <si>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</si>
  <si>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</si>
  <si>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</si>
  <si>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</si>
  <si>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</si>
  <si>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</si>
  <si>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</si>
  <si>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</si>
  <si>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</si>
  <si>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</si>
  <si>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</si>
  <si>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</si>
  <si>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</si>
  <si>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</si>
  <si>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</si>
  <si>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</si>
  <si>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</si>
  <si>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Total Recovery Of Supply Costs</t>
  </si>
  <si>
    <t>Monthly Cost Difference</t>
  </si>
  <si>
    <t>Prior Period Billing Adjustment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</si>
  <si>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</si>
  <si>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</si>
  <si>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</si>
  <si>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</si>
  <si>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</si>
  <si>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</si>
  <si>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</si>
  <si>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</si>
  <si>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</si>
  <si>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</si>
  <si>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</si>
  <si>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</si>
  <si>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</si>
  <si>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</si>
  <si>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</si>
  <si>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</si>
  <si>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</si>
  <si>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</si>
  <si>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</si>
  <si>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</si>
  <si>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</si>
  <si>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</si>
  <si>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</si>
  <si>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</si>
  <si>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</si>
  <si>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</si>
  <si>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</si>
  <si>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</si>
  <si>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</si>
  <si>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</si>
  <si>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</si>
  <si>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</si>
  <si>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</si>
  <si>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</si>
  <si>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</si>
  <si>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</si>
  <si>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</si>
  <si>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</si>
  <si>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</si>
  <si>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</si>
  <si>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</si>
  <si>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</si>
  <si>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</si>
  <si>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</si>
  <si>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</si>
  <si>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</si>
  <si>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</si>
  <si>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</si>
  <si>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</si>
  <si>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</si>
  <si>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</si>
  <si>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</si>
  <si>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</si>
  <si>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</si>
  <si>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</si>
  <si>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</si>
  <si>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</si>
  <si>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</si>
  <si>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</si>
  <si>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</si>
  <si>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</si>
  <si>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</si>
  <si>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</si>
  <si>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</si>
  <si>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</si>
  <si>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</si>
  <si>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</si>
  <si>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</si>
  <si>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</si>
  <si>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</si>
  <si>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</si>
  <si>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</si>
  <si>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>Excise Tax Rate</t>
  </si>
  <si>
    <t>Excise Tax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</si>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</sst>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169" fontId="0" fillId="0" borderId="1" xfId="15" applyNumberFormat="1" applyFont="1" applyBorder="1" applyAlignment="1">
      <alignment vertical="center"/>
    </xf>
    <xf numFmtId="187" fontId="0" fillId="0" borderId="1" xfId="15" applyNumberFormat="1" applyBorder="1" applyAlignment="1">
      <alignment vertical="center"/>
    </xf>
    <xf numFmtId="43" fontId="0" fillId="0" borderId="0" xfId="15" applyAlignment="1">
      <alignment vertical="center"/>
    </xf>
    <xf numFmtId="187" fontId="0" fillId="0" borderId="23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8\Aug%2008\8-08%20Quarterly%20GCR%20Estimated%20Basis%205%20Day%20NYMEX%207-16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-1055.37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TRUNKLINE PIPELINE</v>
          </cell>
          <cell r="Y6">
            <v>-178.92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July 30, 2008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PANHANDLE EASTERN PIPELINE COMPANY</v>
          </cell>
          <cell r="Y7">
            <v>-2201.3999999999996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July 31, 2009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TRUNKLINE PIPELINE</v>
          </cell>
          <cell r="Y8">
            <v>-127.65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Y9">
            <v>-1566.2800000000002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39659</v>
          </cell>
          <cell r="E10">
            <v>39687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TENNESSEE GAS PIPELINE COMPANY</v>
          </cell>
          <cell r="Y10">
            <v>-2.07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COLUMBIA GAS TRANSMISSION CORPORATION</v>
          </cell>
          <cell r="Y11">
            <v>-101457.31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V15" t="str">
            <v>PANHANDLE EASTERN PIPELINE COMPANY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V16" t="str">
            <v>PANHANDLE EASTERN PIPELINE COMPANY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V17" t="str">
            <v>PANHANDLE EASTERN PIPELINE COMPANY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V18" t="str">
            <v>PANHANDLE EASTERN PIPELINE COMPANY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V19" t="str">
            <v>PANHANDLE EASTERN PIPELINE COMPANY</v>
          </cell>
        </row>
        <row r="20">
          <cell r="C20">
            <v>39233</v>
          </cell>
          <cell r="E20">
            <v>39563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V20" t="str">
            <v>COLUMBIA GULF TRANSMISSION COMPANY</v>
          </cell>
          <cell r="AB20">
            <v>37029</v>
          </cell>
          <cell r="AC20">
            <v>0.1221</v>
          </cell>
          <cell r="AD20">
            <v>0.8629</v>
          </cell>
          <cell r="AE20">
            <v>0</v>
          </cell>
          <cell r="AF20">
            <v>13514945</v>
          </cell>
          <cell r="AG20">
            <v>95517615</v>
          </cell>
          <cell r="AH20">
            <v>0</v>
          </cell>
        </row>
        <row r="21">
          <cell r="E21">
            <v>39563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V21" t="str">
            <v>COLUMBIA GAS TRANSMISSION CORPORATION</v>
          </cell>
          <cell r="AB21">
            <v>37119</v>
          </cell>
          <cell r="AC21">
            <v>0</v>
          </cell>
          <cell r="AD21">
            <v>-1.4316</v>
          </cell>
          <cell r="AE21">
            <v>-0.2334</v>
          </cell>
          <cell r="AF21">
            <v>0</v>
          </cell>
          <cell r="AG21">
            <v>-155251707</v>
          </cell>
          <cell r="AH21">
            <v>-1926733</v>
          </cell>
        </row>
        <row r="22">
          <cell r="C22">
            <v>39503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V22" t="str">
            <v>COLUMBIA GAS TRANSMISSION CORPORATION</v>
          </cell>
          <cell r="AB22">
            <v>37209</v>
          </cell>
          <cell r="AC22">
            <v>-0.0029</v>
          </cell>
          <cell r="AD22">
            <v>-0.3525</v>
          </cell>
          <cell r="AE22">
            <v>-0.1199</v>
          </cell>
          <cell r="AF22">
            <v>-306462</v>
          </cell>
          <cell r="AG22">
            <v>-37683524</v>
          </cell>
          <cell r="AH22">
            <v>-5509291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V23" t="str">
            <v>COLUMBIA GAS TRANSMISSION CORPORATION</v>
          </cell>
          <cell r="AB23">
            <v>37299</v>
          </cell>
          <cell r="AC23">
            <v>0</v>
          </cell>
          <cell r="AD23">
            <v>0.6456</v>
          </cell>
          <cell r="AE23">
            <v>0.0644</v>
          </cell>
          <cell r="AF23">
            <v>0</v>
          </cell>
          <cell r="AG23">
            <v>68385012</v>
          </cell>
          <cell r="AH23">
            <v>2807549</v>
          </cell>
        </row>
        <row r="24">
          <cell r="C24">
            <v>39645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37389</v>
          </cell>
          <cell r="AC24">
            <v>0</v>
          </cell>
          <cell r="AD24">
            <v>0.5245</v>
          </cell>
          <cell r="AE24">
            <v>0.0732</v>
          </cell>
          <cell r="AF24">
            <v>0</v>
          </cell>
          <cell r="AG24">
            <v>49006257</v>
          </cell>
          <cell r="AH24">
            <v>667716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37479</v>
          </cell>
          <cell r="AC25">
            <v>0.2443</v>
          </cell>
          <cell r="AD25">
            <v>-0.454</v>
          </cell>
          <cell r="AE25">
            <v>0</v>
          </cell>
          <cell r="AF25">
            <v>21922788</v>
          </cell>
          <cell r="AG25">
            <v>-40748157</v>
          </cell>
          <cell r="AH25">
            <v>0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37569</v>
          </cell>
          <cell r="AC26">
            <v>-0.0007</v>
          </cell>
          <cell r="AD26">
            <v>0.3327</v>
          </cell>
          <cell r="AE26">
            <v>-0.7095</v>
          </cell>
          <cell r="AF26">
            <v>-63336</v>
          </cell>
          <cell r="AG26">
            <v>30604138</v>
          </cell>
          <cell r="AH26">
            <v>-23747097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37659</v>
          </cell>
          <cell r="AC27">
            <v>-0.0409</v>
          </cell>
          <cell r="AD27">
            <v>0.4177</v>
          </cell>
          <cell r="AE27">
            <v>-0.1404</v>
          </cell>
          <cell r="AF27">
            <v>-3727781</v>
          </cell>
          <cell r="AG27">
            <v>38075617</v>
          </cell>
          <cell r="AH27">
            <v>-5598539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37749</v>
          </cell>
          <cell r="AC28">
            <v>-0.0024</v>
          </cell>
          <cell r="AD28">
            <v>0.4887</v>
          </cell>
          <cell r="AE28">
            <v>0.8922</v>
          </cell>
          <cell r="AF28">
            <v>-238864</v>
          </cell>
          <cell r="AG28">
            <v>49087527</v>
          </cell>
          <cell r="AH28">
            <v>10133076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37839</v>
          </cell>
          <cell r="AC29">
            <v>-0.0146</v>
          </cell>
          <cell r="AD29">
            <v>-0.5758</v>
          </cell>
          <cell r="AE29">
            <v>-0.9805</v>
          </cell>
          <cell r="AF29">
            <v>-1565111</v>
          </cell>
          <cell r="AG29">
            <v>-61791287</v>
          </cell>
          <cell r="AH29">
            <v>-6316408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37929</v>
          </cell>
          <cell r="AC30">
            <v>0</v>
          </cell>
          <cell r="AD30">
            <v>-0.1409</v>
          </cell>
          <cell r="AE30">
            <v>0.1111</v>
          </cell>
          <cell r="AF30">
            <v>-1707</v>
          </cell>
          <cell r="AG30">
            <v>-14899115</v>
          </cell>
          <cell r="AH30">
            <v>4748055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38019</v>
          </cell>
          <cell r="AC31">
            <v>-0.002</v>
          </cell>
          <cell r="AD31">
            <v>0.5191</v>
          </cell>
          <cell r="AE31">
            <v>-0.0801</v>
          </cell>
          <cell r="AF31">
            <v>-212847</v>
          </cell>
          <cell r="AG31">
            <v>55512913</v>
          </cell>
          <cell r="AH31">
            <v>-3747807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11.71</v>
          </cell>
          <cell r="AB32">
            <v>38109</v>
          </cell>
          <cell r="AC32">
            <v>-0.0013</v>
          </cell>
          <cell r="AD32">
            <v>0.7576</v>
          </cell>
          <cell r="AE32">
            <v>-0.3107</v>
          </cell>
          <cell r="AF32">
            <v>-134555</v>
          </cell>
          <cell r="AG32">
            <v>81415576</v>
          </cell>
          <cell r="AH32">
            <v>-3247973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R33">
            <v>0.04987</v>
          </cell>
          <cell r="Y33">
            <v>12.75</v>
          </cell>
          <cell r="AB33">
            <v>38200</v>
          </cell>
          <cell r="AC33">
            <v>-0.004</v>
          </cell>
          <cell r="AD33">
            <v>-0.6412</v>
          </cell>
          <cell r="AE33">
            <v>0.0597</v>
          </cell>
          <cell r="AF33">
            <v>-422112</v>
          </cell>
          <cell r="AG33">
            <v>-67093536</v>
          </cell>
          <cell r="AH33">
            <v>484117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12.58</v>
          </cell>
          <cell r="Z34" t="str">
            <v>Y</v>
          </cell>
          <cell r="AB34">
            <v>38292</v>
          </cell>
          <cell r="AC34">
            <v>-0.0003</v>
          </cell>
          <cell r="AD34">
            <v>0.2551</v>
          </cell>
          <cell r="AE34">
            <v>0</v>
          </cell>
          <cell r="AF34">
            <v>-33747</v>
          </cell>
          <cell r="AG34">
            <v>24758388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38384</v>
          </cell>
          <cell r="AC35">
            <v>-0.0004</v>
          </cell>
          <cell r="AD35">
            <v>0.3116</v>
          </cell>
          <cell r="AE35">
            <v>0</v>
          </cell>
          <cell r="AF35">
            <v>-45089</v>
          </cell>
          <cell r="AG35">
            <v>31931474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38476</v>
          </cell>
          <cell r="AC36">
            <v>-0.0123</v>
          </cell>
          <cell r="AD36">
            <v>0.8729</v>
          </cell>
          <cell r="AE36">
            <v>0</v>
          </cell>
          <cell r="AF36">
            <v>-1264733</v>
          </cell>
          <cell r="AG36">
            <v>89852652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38568</v>
          </cell>
          <cell r="AC37">
            <v>-0.0147</v>
          </cell>
          <cell r="AD37">
            <v>-0.323</v>
          </cell>
          <cell r="AE37">
            <v>0</v>
          </cell>
          <cell r="AF37">
            <v>-1525842</v>
          </cell>
          <cell r="AG37">
            <v>-33428861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38660</v>
          </cell>
          <cell r="AC38">
            <v>0</v>
          </cell>
          <cell r="AD38">
            <v>-0.216</v>
          </cell>
          <cell r="AE38">
            <v>0</v>
          </cell>
          <cell r="AF38">
            <v>-1609</v>
          </cell>
          <cell r="AG38">
            <v>-21339689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38752</v>
          </cell>
          <cell r="AC39">
            <v>0.0018</v>
          </cell>
          <cell r="AD39">
            <v>1.1954</v>
          </cell>
          <cell r="AE39">
            <v>0</v>
          </cell>
          <cell r="AF39">
            <v>178260</v>
          </cell>
          <cell r="AG39">
            <v>118914978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38844</v>
          </cell>
          <cell r="AC40">
            <v>-0.0048</v>
          </cell>
          <cell r="AD40">
            <v>0.5929</v>
          </cell>
          <cell r="AE40">
            <v>0</v>
          </cell>
          <cell r="AF40">
            <v>-437831</v>
          </cell>
          <cell r="AG40">
            <v>54571027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38936</v>
          </cell>
          <cell r="AC41">
            <v>-0.0048</v>
          </cell>
          <cell r="AD41">
            <v>-0.7782</v>
          </cell>
          <cell r="AE41">
            <v>0</v>
          </cell>
          <cell r="AF41">
            <v>-442739</v>
          </cell>
          <cell r="AG41">
            <v>-71737323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39028</v>
          </cell>
          <cell r="AC42">
            <v>0</v>
          </cell>
          <cell r="AD42">
            <v>-0.6903</v>
          </cell>
          <cell r="AE42">
            <v>0</v>
          </cell>
          <cell r="AF42">
            <v>0</v>
          </cell>
          <cell r="AG42">
            <v>-53523654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39120</v>
          </cell>
          <cell r="AC43">
            <v>0</v>
          </cell>
          <cell r="AD43">
            <v>0.4663</v>
          </cell>
          <cell r="AE43">
            <v>0</v>
          </cell>
          <cell r="AF43">
            <v>0</v>
          </cell>
          <cell r="AG43">
            <v>35594553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39212</v>
          </cell>
          <cell r="AC44">
            <v>0</v>
          </cell>
          <cell r="AD44">
            <v>1.338</v>
          </cell>
          <cell r="AE44">
            <v>0</v>
          </cell>
          <cell r="AF44">
            <v>0</v>
          </cell>
          <cell r="AG44">
            <v>96981561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39304</v>
          </cell>
          <cell r="AC45">
            <v>-0.0061</v>
          </cell>
          <cell r="AD45">
            <v>-0.2151</v>
          </cell>
          <cell r="AE45">
            <v>0</v>
          </cell>
          <cell r="AF45">
            <v>-444166</v>
          </cell>
          <cell r="AG45">
            <v>-15564996</v>
          </cell>
          <cell r="AH45">
            <v>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39396</v>
          </cell>
          <cell r="AC46">
            <v>0</v>
          </cell>
          <cell r="AD46">
            <v>-0.9029</v>
          </cell>
          <cell r="AE46">
            <v>0</v>
          </cell>
          <cell r="AF46">
            <v>-1115</v>
          </cell>
          <cell r="AG46">
            <v>-68154398</v>
          </cell>
          <cell r="AH46">
            <v>0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  <cell r="AB47">
            <v>39488</v>
          </cell>
          <cell r="AC47">
            <v>0</v>
          </cell>
          <cell r="AD47">
            <v>-0.2216</v>
          </cell>
          <cell r="AE47">
            <v>0</v>
          </cell>
          <cell r="AF47">
            <v>-2134</v>
          </cell>
          <cell r="AG47">
            <v>-16750281</v>
          </cell>
          <cell r="AH47">
            <v>0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  <cell r="AB48">
            <v>39580</v>
          </cell>
          <cell r="AC48">
            <v>-0.0041</v>
          </cell>
          <cell r="AD48">
            <v>1.1752</v>
          </cell>
          <cell r="AE48">
            <v>0</v>
          </cell>
          <cell r="AF48">
            <v>-322633</v>
          </cell>
          <cell r="AG48">
            <v>92485895</v>
          </cell>
          <cell r="AH48">
            <v>0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39659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1592882.4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  <row r="120">
          <cell r="G120">
            <v>39502</v>
          </cell>
          <cell r="H120">
            <v>1824780</v>
          </cell>
          <cell r="J120">
            <v>39502</v>
          </cell>
          <cell r="K120">
            <v>12978723</v>
          </cell>
          <cell r="L120">
            <v>11935701</v>
          </cell>
          <cell r="M120">
            <v>0</v>
          </cell>
        </row>
        <row r="121">
          <cell r="G121">
            <v>39533</v>
          </cell>
          <cell r="H121">
            <v>1839380</v>
          </cell>
          <cell r="J121">
            <v>39533</v>
          </cell>
          <cell r="K121">
            <v>12690788</v>
          </cell>
          <cell r="L121">
            <v>11537257</v>
          </cell>
          <cell r="M121">
            <v>0</v>
          </cell>
        </row>
        <row r="122">
          <cell r="G122">
            <v>39564</v>
          </cell>
          <cell r="H122">
            <v>1221895.1</v>
          </cell>
          <cell r="J122">
            <v>39564</v>
          </cell>
          <cell r="K122">
            <v>7905968.9</v>
          </cell>
          <cell r="L122">
            <v>7355863</v>
          </cell>
          <cell r="M122">
            <v>0</v>
          </cell>
        </row>
      </sheetData>
      <sheetData sheetId="2">
        <row r="9">
          <cell r="D9">
            <v>-0.0601</v>
          </cell>
        </row>
        <row r="30">
          <cell r="F30">
            <v>-0.0041</v>
          </cell>
        </row>
        <row r="31">
          <cell r="F31">
            <v>0</v>
          </cell>
        </row>
        <row r="32">
          <cell r="F32">
            <v>0</v>
          </cell>
        </row>
        <row r="38">
          <cell r="F38">
            <v>1.1752</v>
          </cell>
        </row>
        <row r="39">
          <cell r="F39">
            <v>-0.2216</v>
          </cell>
        </row>
        <row r="40">
          <cell r="F40">
            <v>-0.9029</v>
          </cell>
        </row>
      </sheetData>
      <sheetData sheetId="6">
        <row r="39">
          <cell r="I39">
            <v>435612000</v>
          </cell>
        </row>
        <row r="44">
          <cell r="I44">
            <v>1150376</v>
          </cell>
        </row>
      </sheetData>
      <sheetData sheetId="13">
        <row r="43">
          <cell r="C43">
            <v>0</v>
          </cell>
        </row>
        <row r="45">
          <cell r="C45">
            <v>4900000</v>
          </cell>
        </row>
        <row r="46">
          <cell r="C46">
            <v>43971000</v>
          </cell>
        </row>
      </sheetData>
      <sheetData sheetId="14">
        <row r="24">
          <cell r="B24">
            <v>12978723</v>
          </cell>
          <cell r="D24">
            <v>1824780</v>
          </cell>
        </row>
        <row r="25">
          <cell r="B25">
            <v>12690788</v>
          </cell>
          <cell r="D25">
            <v>1839380</v>
          </cell>
        </row>
        <row r="26">
          <cell r="B26">
            <v>7905968.9</v>
          </cell>
          <cell r="D26">
            <v>1221895.1</v>
          </cell>
        </row>
        <row r="51">
          <cell r="B51">
            <v>73609000</v>
          </cell>
          <cell r="D51">
            <v>8982000</v>
          </cell>
        </row>
        <row r="54">
          <cell r="C54">
            <v>0.562</v>
          </cell>
        </row>
      </sheetData>
      <sheetData sheetId="16">
        <row r="20">
          <cell r="B20">
            <v>37200000</v>
          </cell>
          <cell r="D20">
            <v>0</v>
          </cell>
          <cell r="F20">
            <v>1137000</v>
          </cell>
        </row>
        <row r="21">
          <cell r="I21">
            <v>37988000</v>
          </cell>
          <cell r="J21">
            <v>37200000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1001000</v>
          </cell>
          <cell r="J38">
            <v>1137000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5.466</v>
          </cell>
        </row>
        <row r="29">
          <cell r="A29" t="str">
            <v>TCRA Current Rate</v>
          </cell>
          <cell r="B29">
            <v>0.323</v>
          </cell>
        </row>
        <row r="30">
          <cell r="A30" t="str">
            <v>TCRA Surcharge</v>
          </cell>
          <cell r="B30">
            <v>-0.015</v>
          </cell>
        </row>
        <row r="31">
          <cell r="A31" t="str">
            <v>EPCA Current Rate</v>
          </cell>
          <cell r="B31">
            <v>0.027</v>
          </cell>
        </row>
        <row r="32">
          <cell r="A32" t="str">
            <v>EPCA Surcharge</v>
          </cell>
          <cell r="B32">
            <v>-0.002</v>
          </cell>
        </row>
        <row r="37">
          <cell r="A37" t="str">
            <v>TOTAL</v>
          </cell>
          <cell r="B37">
            <v>5.799000000000001</v>
          </cell>
        </row>
        <row r="104">
          <cell r="A104" t="str">
            <v>Reservation Charge</v>
          </cell>
          <cell r="B104">
            <v>5.636</v>
          </cell>
        </row>
        <row r="105">
          <cell r="A105" t="str">
            <v>TCRA Current Rate</v>
          </cell>
          <cell r="B105">
            <v>0.323</v>
          </cell>
        </row>
        <row r="106">
          <cell r="A106" t="str">
            <v>TCRA Surcharge</v>
          </cell>
          <cell r="B106">
            <v>-0.015</v>
          </cell>
        </row>
        <row r="107">
          <cell r="A107" t="str">
            <v>EPCA Current Rate</v>
          </cell>
          <cell r="B107">
            <v>0.027</v>
          </cell>
        </row>
        <row r="108">
          <cell r="A108" t="str">
            <v>EPCA Surcharge</v>
          </cell>
          <cell r="B108">
            <v>-0.002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5.969000000000001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5.799000000000001</v>
          </cell>
          <cell r="V2864">
            <v>8670612</v>
          </cell>
          <cell r="W2864">
            <v>50280879</v>
          </cell>
          <cell r="Z2864">
            <v>39539</v>
          </cell>
          <cell r="AA2864" t="str">
            <v>25, 26 &amp; 29</v>
          </cell>
          <cell r="AB2864" t="str">
            <v>N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5.799000000000001</v>
          </cell>
          <cell r="V2865">
            <v>4335306</v>
          </cell>
          <cell r="W2865">
            <v>25140439</v>
          </cell>
          <cell r="AB2865" t="str">
            <v>N</v>
          </cell>
        </row>
        <row r="2866">
          <cell r="S2866" t="str">
            <v>FTS</v>
          </cell>
          <cell r="T2866" t="str">
            <v>Reservation Charge</v>
          </cell>
          <cell r="U2866">
            <v>5.969000000000001</v>
          </cell>
          <cell r="V2866">
            <v>4561800</v>
          </cell>
          <cell r="W2866">
            <v>27229384</v>
          </cell>
          <cell r="AB2866" t="str">
            <v>N</v>
          </cell>
        </row>
        <row r="2867">
          <cell r="S2867" t="str">
            <v>FSS RES</v>
          </cell>
          <cell r="T2867" t="str">
            <v>Reservation Charge</v>
          </cell>
          <cell r="U2867">
            <v>1.507</v>
          </cell>
          <cell r="V2867">
            <v>17341224</v>
          </cell>
          <cell r="W2867">
            <v>26133225</v>
          </cell>
          <cell r="AB2867" t="str">
            <v>N</v>
          </cell>
        </row>
        <row r="2868">
          <cell r="S2868" t="str">
            <v>FSS CAP</v>
          </cell>
          <cell r="T2868" t="str">
            <v>Capacity Charge</v>
          </cell>
          <cell r="U2868">
            <v>0.029</v>
          </cell>
          <cell r="V2868">
            <v>965302956</v>
          </cell>
          <cell r="W2868">
            <v>27993786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4402788</v>
          </cell>
          <cell r="W2873">
            <v>13846768</v>
          </cell>
          <cell r="Z2873">
            <v>39600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39569</v>
          </cell>
          <cell r="AA2882" t="str">
            <v>5, 9, 14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339648</v>
          </cell>
          <cell r="W2892">
            <v>1128922</v>
          </cell>
          <cell r="Z2892">
            <v>39539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6.083</v>
          </cell>
          <cell r="V2901">
            <v>83850</v>
          </cell>
          <cell r="W2901">
            <v>510060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275013</v>
          </cell>
          <cell r="W2902">
            <v>2475942</v>
          </cell>
          <cell r="Y2902" t="str">
            <v>Y</v>
          </cell>
        </row>
        <row r="2903"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4.0155</v>
          </cell>
          <cell r="V2910">
            <v>480000</v>
          </cell>
          <cell r="W2910">
            <v>1927440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129870.44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1867497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13255741.44</v>
          </cell>
          <cell r="Y2939" t="str">
            <v>N/A</v>
          </cell>
          <cell r="Z2939" t="str">
            <v>Per Contract</v>
          </cell>
        </row>
      </sheetData>
      <sheetData sheetId="28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A132">
            <v>39507</v>
          </cell>
          <cell r="B132">
            <v>171483951.96</v>
          </cell>
          <cell r="C132">
            <v>15226412</v>
          </cell>
          <cell r="D132">
            <v>12883962</v>
          </cell>
          <cell r="E132">
            <v>13399320</v>
          </cell>
          <cell r="H132">
            <v>653259</v>
          </cell>
          <cell r="I132">
            <v>653259</v>
          </cell>
          <cell r="X132">
            <v>701089</v>
          </cell>
          <cell r="Y132">
            <v>670682</v>
          </cell>
          <cell r="Z132">
            <v>694558</v>
          </cell>
          <cell r="AA132">
            <v>988102</v>
          </cell>
          <cell r="AB132">
            <v>1022735</v>
          </cell>
        </row>
        <row r="133">
          <cell r="A133">
            <v>39538</v>
          </cell>
          <cell r="B133">
            <v>166447555.55</v>
          </cell>
          <cell r="C133">
            <v>12057444</v>
          </cell>
          <cell r="D133">
            <v>6955669</v>
          </cell>
          <cell r="E133">
            <v>7233896</v>
          </cell>
          <cell r="H133">
            <v>75871</v>
          </cell>
          <cell r="I133">
            <v>75871</v>
          </cell>
          <cell r="X133">
            <v>571090</v>
          </cell>
          <cell r="Y133">
            <v>548442</v>
          </cell>
          <cell r="Z133">
            <v>566649</v>
          </cell>
          <cell r="AA133">
            <v>4454814</v>
          </cell>
          <cell r="AB133">
            <v>4560309</v>
          </cell>
        </row>
        <row r="134">
          <cell r="A134">
            <v>39568</v>
          </cell>
          <cell r="B134">
            <v>46734952.07</v>
          </cell>
          <cell r="C134">
            <v>3392886</v>
          </cell>
          <cell r="D134">
            <v>438819</v>
          </cell>
          <cell r="E134">
            <v>456371</v>
          </cell>
          <cell r="H134">
            <v>394</v>
          </cell>
          <cell r="I134">
            <v>394</v>
          </cell>
          <cell r="X134">
            <v>376281</v>
          </cell>
          <cell r="Y134">
            <v>350479</v>
          </cell>
          <cell r="Z134">
            <v>362150</v>
          </cell>
          <cell r="AA134">
            <v>2577392</v>
          </cell>
          <cell r="AB134">
            <v>2630678</v>
          </cell>
        </row>
        <row r="135">
          <cell r="D135" t="str">
            <v>ACTUAL INJECTION VOLUMES</v>
          </cell>
          <cell r="J135" t="str">
            <v>ACTUAL INJECTION VOLUMES</v>
          </cell>
          <cell r="P135" t="str">
            <v>ACTUAL INJECTION VOLUMES</v>
          </cell>
          <cell r="V135" t="str">
            <v>ACTUAL INJECTION VOLUMES</v>
          </cell>
        </row>
        <row r="136">
          <cell r="D136" t="str">
            <v>TCO</v>
          </cell>
          <cell r="F136" t="str">
            <v>CGT</v>
          </cell>
          <cell r="H136" t="str">
            <v>PEPL</v>
          </cell>
          <cell r="J136" t="str">
            <v>ANR</v>
          </cell>
          <cell r="L136" t="str">
            <v>CNG</v>
          </cell>
          <cell r="N136" t="str">
            <v>TENN</v>
          </cell>
          <cell r="P136" t="str">
            <v>TETCO</v>
          </cell>
          <cell r="R136" t="str">
            <v>CARNEGIE</v>
          </cell>
          <cell r="T136" t="str">
            <v>FIRM</v>
          </cell>
          <cell r="V136" t="str">
            <v>COVE (CVP)</v>
          </cell>
          <cell r="X136" t="str">
            <v>LOCAL</v>
          </cell>
          <cell r="AA136" t="str">
            <v>NON-LOCAL</v>
          </cell>
        </row>
      </sheetData>
      <sheetData sheetId="29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  <row r="107">
          <cell r="A107">
            <v>39502</v>
          </cell>
          <cell r="J107">
            <v>-135123.39</v>
          </cell>
          <cell r="L107">
            <v>-3990.96</v>
          </cell>
          <cell r="M107">
            <v>-12003.27</v>
          </cell>
          <cell r="P107">
            <v>-240642.91</v>
          </cell>
          <cell r="R107">
            <v>92664</v>
          </cell>
        </row>
        <row r="108">
          <cell r="A108">
            <v>39533</v>
          </cell>
          <cell r="J108">
            <v>-147736.35</v>
          </cell>
          <cell r="L108">
            <v>-41314.49</v>
          </cell>
          <cell r="M108">
            <v>-12025.72</v>
          </cell>
          <cell r="P108">
            <v>-252697.82</v>
          </cell>
          <cell r="R108">
            <v>94646</v>
          </cell>
        </row>
        <row r="109">
          <cell r="A109">
            <v>39564</v>
          </cell>
          <cell r="J109">
            <v>-139624.46</v>
          </cell>
          <cell r="L109">
            <v>-11082.09</v>
          </cell>
          <cell r="M109">
            <v>-11162.22</v>
          </cell>
          <cell r="P109">
            <v>-238909.33</v>
          </cell>
          <cell r="R109">
            <v>88295</v>
          </cell>
        </row>
      </sheetData>
      <sheetData sheetId="30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10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  <c r="H7" s="179"/>
      <c r="I7" s="179"/>
      <c r="J7" s="179"/>
    </row>
    <row r="8" spans="2:14" ht="12.75" customHeight="1">
      <c r="B8" s="4" t="s">
        <v>7</v>
      </c>
      <c r="D8" s="14">
        <f>F8</f>
        <v>14.1925</v>
      </c>
      <c r="E8" s="15" t="s">
        <v>8</v>
      </c>
      <c r="F8" s="16">
        <f>F25</f>
        <v>14.1925</v>
      </c>
      <c r="H8" s="179"/>
      <c r="I8" s="179"/>
      <c r="J8" s="179"/>
      <c r="N8" s="17"/>
    </row>
    <row r="9" spans="2:14" ht="12.75" customHeight="1">
      <c r="B9" s="4" t="s">
        <v>9</v>
      </c>
      <c r="D9" s="14">
        <f>+'[1]Summ Work'!D9</f>
        <v>-0.0601</v>
      </c>
      <c r="E9" s="15"/>
      <c r="F9" s="16"/>
      <c r="H9" s="179"/>
      <c r="I9" s="179"/>
      <c r="J9" s="179"/>
      <c r="N9" s="17"/>
    </row>
    <row r="10" spans="2:10" ht="12.75" customHeight="1">
      <c r="B10" s="4" t="s">
        <v>10</v>
      </c>
      <c r="D10" s="14"/>
      <c r="E10" s="15" t="s">
        <v>8</v>
      </c>
      <c r="F10" s="16">
        <f>F33</f>
        <v>-0.005600000000000001</v>
      </c>
      <c r="H10" s="179"/>
      <c r="I10" s="180"/>
      <c r="J10" s="179"/>
    </row>
    <row r="11" spans="2:10" ht="12.75" customHeight="1" thickBot="1">
      <c r="B11" s="4" t="s">
        <v>11</v>
      </c>
      <c r="D11" s="14"/>
      <c r="E11" s="15" t="s">
        <v>8</v>
      </c>
      <c r="F11" s="16">
        <f>F41</f>
        <v>-0.6452</v>
      </c>
      <c r="H11" s="179"/>
      <c r="I11" s="179"/>
      <c r="J11" s="179"/>
    </row>
    <row r="12" spans="1:10" ht="12.75" customHeight="1" thickBot="1">
      <c r="A12" s="4" t="s">
        <v>12</v>
      </c>
      <c r="D12" s="18">
        <f>SUM(D8:D11)</f>
        <v>14.1324</v>
      </c>
      <c r="E12" s="15" t="s">
        <v>8</v>
      </c>
      <c r="F12" s="18">
        <f>SUM(F8:F11)</f>
        <v>13.541700000000002</v>
      </c>
      <c r="H12" s="179"/>
      <c r="I12" s="179"/>
      <c r="J12" s="179"/>
    </row>
    <row r="13" spans="8:10" ht="12.75" customHeight="1">
      <c r="H13" s="179"/>
      <c r="I13" s="181"/>
      <c r="J13" s="179"/>
    </row>
    <row r="14" spans="2:10" ht="12.75" customHeight="1">
      <c r="B14" s="15" t="s">
        <v>13</v>
      </c>
      <c r="C14" s="15"/>
      <c r="D14" s="20">
        <f>'[1]Instruct &amp; Input'!C52</f>
        <v>39659</v>
      </c>
      <c r="E14" s="15" t="s">
        <v>14</v>
      </c>
      <c r="F14" s="21">
        <f>'[1]Instruct &amp; Input'!E10</f>
        <v>39687</v>
      </c>
      <c r="H14" s="179"/>
      <c r="I14" s="179"/>
      <c r="J14" s="179"/>
    </row>
    <row r="15" spans="8:10" ht="12.75" customHeight="1">
      <c r="H15" s="179"/>
      <c r="I15" s="179"/>
      <c r="J15" s="179"/>
    </row>
    <row r="16" spans="1:10" ht="12.75" customHeight="1">
      <c r="A16" s="9" t="s">
        <v>15</v>
      </c>
      <c r="B16" s="9"/>
      <c r="C16" s="9"/>
      <c r="D16" s="9"/>
      <c r="E16" s="9"/>
      <c r="F16" s="22"/>
      <c r="H16" s="179"/>
      <c r="I16" s="179"/>
      <c r="J16" s="179"/>
    </row>
    <row r="17" spans="1:10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79"/>
      <c r="I17" s="182"/>
      <c r="J17" s="179"/>
    </row>
    <row r="18" spans="2:10" ht="12.75" customHeight="1">
      <c r="B18" s="4" t="s">
        <v>16</v>
      </c>
      <c r="E18" s="15" t="s">
        <v>17</v>
      </c>
      <c r="F18" s="23">
        <f>'Sched 1 File'!D42</f>
        <v>106383251</v>
      </c>
      <c r="H18" s="179"/>
      <c r="I18" s="179"/>
      <c r="J18" s="179"/>
    </row>
    <row r="19" spans="2:10" ht="12.75" customHeight="1">
      <c r="B19" s="4" t="s">
        <v>18</v>
      </c>
      <c r="E19" s="15" t="s">
        <v>19</v>
      </c>
      <c r="F19" s="24">
        <f>('[1]Sales &amp; CHOICE Volumes'!B51)+('[1]Sales &amp; CHOICE Volumes'!D51)</f>
        <v>82591000</v>
      </c>
      <c r="H19" s="179"/>
      <c r="I19" s="182"/>
      <c r="J19" s="179"/>
    </row>
    <row r="20" spans="2:10" ht="12.75" customHeight="1">
      <c r="B20" s="4" t="s">
        <v>20</v>
      </c>
      <c r="E20" s="15" t="s">
        <v>8</v>
      </c>
      <c r="F20" s="25">
        <f>ROUND(F18/F19,4)</f>
        <v>1.2881</v>
      </c>
      <c r="H20" s="179"/>
      <c r="I20" s="182"/>
      <c r="J20" s="179"/>
    </row>
    <row r="21" spans="2:6" ht="12.75" customHeight="1">
      <c r="B21" s="4" t="s">
        <v>21</v>
      </c>
      <c r="E21" s="15" t="s">
        <v>17</v>
      </c>
      <c r="F21" s="23">
        <f>SUM('Sched 1 File'!E42:F42)</f>
        <v>1065789140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82591000</v>
      </c>
    </row>
    <row r="23" spans="2:6" ht="12.75" customHeight="1">
      <c r="B23" s="4" t="s">
        <v>23</v>
      </c>
      <c r="E23" s="15" t="s">
        <v>8</v>
      </c>
      <c r="F23" s="25">
        <f>ROUND(F21/F22,4)</f>
        <v>12.9044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14.1925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-0.0015</v>
      </c>
    </row>
    <row r="30" spans="2:6" ht="12.75" customHeight="1">
      <c r="B30" s="4" t="s">
        <v>27</v>
      </c>
      <c r="E30" s="15" t="s">
        <v>8</v>
      </c>
      <c r="F30" s="28">
        <f>'[1]Summ Work'!F30</f>
        <v>-0.0041</v>
      </c>
    </row>
    <row r="31" spans="2:6" ht="12.75" customHeight="1">
      <c r="B31" s="4" t="s">
        <v>28</v>
      </c>
      <c r="E31" s="15" t="s">
        <v>8</v>
      </c>
      <c r="F31" s="28">
        <f>'[1]Summ Work'!F31</f>
        <v>0</v>
      </c>
    </row>
    <row r="32" spans="2:6" ht="12.75" customHeight="1">
      <c r="B32" s="4" t="s">
        <v>29</v>
      </c>
      <c r="E32" s="15" t="s">
        <v>8</v>
      </c>
      <c r="F32" s="28">
        <f>'[1]Summ Work'!F32</f>
        <v>0</v>
      </c>
    </row>
    <row r="33" spans="1:6" ht="12.75" customHeight="1">
      <c r="A33" s="4" t="s">
        <v>10</v>
      </c>
      <c r="E33" s="15" t="s">
        <v>8</v>
      </c>
      <c r="F33" s="27">
        <f>SUM(F29:F32)</f>
        <v>-0.005600000000000001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-0.6959</v>
      </c>
    </row>
    <row r="38" spans="2:6" ht="12.75" customHeight="1">
      <c r="B38" s="4" t="s">
        <v>32</v>
      </c>
      <c r="E38" s="15" t="s">
        <v>8</v>
      </c>
      <c r="F38" s="28">
        <f>'[1]Summ Work'!F38</f>
        <v>1.1752</v>
      </c>
    </row>
    <row r="39" spans="2:6" ht="12.75" customHeight="1">
      <c r="B39" s="4" t="s">
        <v>33</v>
      </c>
      <c r="E39" s="15" t="s">
        <v>8</v>
      </c>
      <c r="F39" s="28">
        <f>'[1]Summ Work'!F39</f>
        <v>-0.2216</v>
      </c>
    </row>
    <row r="40" spans="2:6" ht="12.75" customHeight="1">
      <c r="B40" s="4" t="s">
        <v>34</v>
      </c>
      <c r="E40" s="15" t="s">
        <v>8</v>
      </c>
      <c r="F40" s="28">
        <f>'[1]Summ Work'!F40</f>
        <v>-0.9029</v>
      </c>
    </row>
    <row r="41" spans="1:6" ht="12.75" customHeight="1">
      <c r="A41" s="4" t="s">
        <v>11</v>
      </c>
      <c r="E41" s="15" t="s">
        <v>8</v>
      </c>
      <c r="F41" s="27">
        <f>SUM(F37:F40)</f>
        <v>-0.6452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39645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July 30, 2008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July 31, 2009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156777713</v>
      </c>
      <c r="E17" s="47">
        <f>'[1]Sched 1A Work'!I39</f>
        <v>435612000</v>
      </c>
      <c r="F17" s="47">
        <f>'[1]Sched 1A Work'!I44</f>
        <v>1150376</v>
      </c>
      <c r="G17" s="47">
        <f aca="true" t="shared" si="0" ref="G17:G27">SUM(D17:F17)</f>
        <v>593540089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13846768</v>
      </c>
      <c r="E18" s="47">
        <f>'Sched 1A File'!I129</f>
        <v>0</v>
      </c>
      <c r="F18" s="47">
        <f>'Sched 1A File'!I134</f>
        <v>0</v>
      </c>
      <c r="G18" s="47">
        <f t="shared" si="0"/>
        <v>13846768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2417400</v>
      </c>
      <c r="E19" s="47">
        <f>'Sched 1A File'!I182</f>
        <v>13314270</v>
      </c>
      <c r="F19" s="47">
        <f>'Sched 1A File'!I189</f>
        <v>82314</v>
      </c>
      <c r="G19" s="47">
        <f t="shared" si="0"/>
        <v>15813984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1128922</v>
      </c>
      <c r="E20" s="47">
        <f>'Sched 1A File'!I269</f>
        <v>0</v>
      </c>
      <c r="F20" s="47">
        <f>'Sched 1A File'!I274</f>
        <v>0</v>
      </c>
      <c r="G20" s="47">
        <f t="shared" si="0"/>
        <v>1128922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1867497</v>
      </c>
      <c r="E25" s="47">
        <f>'Sched 1A File'!I534</f>
        <v>0</v>
      </c>
      <c r="F25" s="47">
        <f>'Sched 1A File'!I539</f>
        <v>0</v>
      </c>
      <c r="G25" s="47">
        <f t="shared" si="0"/>
        <v>1867497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13255741.44</v>
      </c>
      <c r="E27" s="47">
        <f>'Sched 1A File'!I640</f>
        <v>0</v>
      </c>
      <c r="F27" s="47">
        <f>'Sched 1A File'!K645</f>
        <v>0</v>
      </c>
      <c r="G27" s="48">
        <f t="shared" si="0"/>
        <v>13255741.44</v>
      </c>
    </row>
    <row r="28" spans="1:7" ht="12.75" customHeight="1" thickBot="1">
      <c r="A28" s="49"/>
      <c r="B28" s="50" t="s">
        <v>54</v>
      </c>
      <c r="C28" s="51"/>
      <c r="D28" s="52">
        <f>SUM(D17:D27)</f>
        <v>189294041.44</v>
      </c>
      <c r="E28" s="52">
        <f>SUM(E17:E27)</f>
        <v>448926270</v>
      </c>
      <c r="F28" s="52">
        <f>SUM(F17:F27)</f>
        <v>1232690</v>
      </c>
      <c r="G28" s="52">
        <f>SUM(G17:G27)</f>
        <v>639453001.44</v>
      </c>
    </row>
    <row r="29" spans="1:7" ht="12.75" customHeight="1">
      <c r="A29" s="45"/>
      <c r="B29" s="46"/>
      <c r="C29" s="42" t="s">
        <v>55</v>
      </c>
      <c r="D29" s="53">
        <f>'[1]Sales &amp; CHOICE Volumes'!C54</f>
        <v>0.562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106383251</v>
      </c>
      <c r="E30" s="47">
        <f>E28</f>
        <v>448926270</v>
      </c>
      <c r="F30" s="47">
        <f>F28</f>
        <v>1232690</v>
      </c>
      <c r="G30" s="47">
        <f>SUM(D30:F30)</f>
        <v>556542211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62475000</v>
      </c>
      <c r="F36" s="52">
        <v>0</v>
      </c>
      <c r="G36" s="52">
        <f>SUM(D36:F36)</f>
        <v>62475000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553155180</v>
      </c>
      <c r="F40" s="54">
        <v>0</v>
      </c>
      <c r="G40" s="54">
        <f>SUM(D40:F40)</f>
        <v>553155180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106383251</v>
      </c>
      <c r="E42" s="52">
        <f>SUM(E30:E40)</f>
        <v>1064556450</v>
      </c>
      <c r="F42" s="52">
        <f>SUM(F30:F40)</f>
        <v>1232690</v>
      </c>
      <c r="G42" s="52">
        <f>SUM(G30:G40)</f>
        <v>1172172391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1172172391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1">
      <selection activeCell="F12" sqref="F12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July 30, 2008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July 31, 2009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39539</v>
      </c>
      <c r="H14" s="32" t="s">
        <v>81</v>
      </c>
      <c r="I14" s="65" t="str">
        <f>IF(ISBLANK('[1]Demand'!AA2864)," ",'[1]Demand'!AA2864)</f>
        <v>25, 26 &amp; 29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 </v>
      </c>
      <c r="E25" s="76">
        <f>IF(AND(ISBLANK('[1]Demand'!Y2864),'[1]Demand'!U2864&gt;0),'[1]Demand'!U2864," ")</f>
        <v>5.799000000000001</v>
      </c>
      <c r="F25" s="46"/>
      <c r="G25" s="77">
        <f>IF(AND(ISBLANK('[1]Demand'!Y2864),'[1]Demand'!V2864&gt;0),'[1]Demand'!V2864," ")</f>
        <v>8670612</v>
      </c>
      <c r="H25" s="46"/>
      <c r="I25" s="78">
        <f>IF(AND(ISBLANK('[1]Demand'!Y2864),'[1]Demand'!W2864&gt;0),'[1]Demand'!W2864," ")</f>
        <v>50280879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 </v>
      </c>
      <c r="E26" s="76">
        <f>IF(AND(ISBLANK('[1]Demand'!Y2865),'[1]Demand'!U2865&gt;0),'[1]Demand'!U2865," ")</f>
        <v>5.799000000000001</v>
      </c>
      <c r="F26" s="46"/>
      <c r="G26" s="77">
        <f>IF(AND(ISBLANK('[1]Demand'!Y2865),'[1]Demand'!V2865&gt;0),'[1]Demand'!V2865," ")</f>
        <v>4335306</v>
      </c>
      <c r="H26" s="46"/>
      <c r="I26" s="78">
        <f>IF(AND(ISBLANK('[1]Demand'!Y2865),'[1]Demand'!W2865&gt;0),'[1]Demand'!W2865," ")</f>
        <v>25140439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 </v>
      </c>
      <c r="E27" s="76">
        <f>IF(AND(ISBLANK('[1]Demand'!Y2866),'[1]Demand'!U2866&gt;0),'[1]Demand'!U2866," ")</f>
        <v>5.969000000000001</v>
      </c>
      <c r="F27" s="46"/>
      <c r="G27" s="77">
        <f>IF(AND(ISBLANK('[1]Demand'!Y2866),'[1]Demand'!V2866&gt;0),'[1]Demand'!V2866," ")</f>
        <v>4561800</v>
      </c>
      <c r="H27" s="46"/>
      <c r="I27" s="78">
        <f>IF(AND(ISBLANK('[1]Demand'!Y2866),'[1]Demand'!W2866&gt;0),'[1]Demand'!W2866," ")</f>
        <v>27229384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 </v>
      </c>
      <c r="E28" s="76">
        <f>IF(AND(ISBLANK('[1]Demand'!Y2867),'[1]Demand'!U2867&gt;0),'[1]Demand'!U2867," ")</f>
        <v>1.507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26133225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 </v>
      </c>
      <c r="E29" s="76">
        <f>IF(AND(ISBLANK('[1]Demand'!Y2868),'[1]Demand'!U2868&gt;0),'[1]Demand'!U2868," ")</f>
        <v>0.029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27993786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156777713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0">
        <f>'[1]Instruct &amp; Input'!Y32</f>
        <v>11.71</v>
      </c>
      <c r="G38" s="66">
        <f>'[1]Estimates'!B20</f>
        <v>37200000</v>
      </c>
      <c r="I38" s="92">
        <f>ROUND(G38*E38,0)</f>
        <v>435612000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435612000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0">
        <f>'[1]Instruct &amp; Input'!Y39</f>
        <v>0.0153</v>
      </c>
      <c r="G42" s="66">
        <f>'[1]Estimates'!I21</f>
        <v>37988000</v>
      </c>
      <c r="I42" s="57">
        <f>ROUND(G42*E42,0)</f>
        <v>581216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0">
        <v>0.0153</v>
      </c>
      <c r="G43" s="66">
        <f>'[1]Estimates'!J21</f>
        <v>37200000</v>
      </c>
      <c r="I43" s="92">
        <f>ROUND(G43*E43,0)</f>
        <v>569160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1150376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593540089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July 30, 2008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5.466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0.323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-0.015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0.027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-0.002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5.799000000000001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5.636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0.323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-0.015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0.027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-0.002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5.969000000000001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July 30, 2008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July 31, 2009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39600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4402788</v>
      </c>
      <c r="H115" s="46"/>
      <c r="I115" s="78">
        <f>IF(AND(ISBLANK('[1]Demand'!Y2873),'[1]Demand'!W2873&gt;0),'[1]Demand'!W2873," ")</f>
        <v>13846768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13846768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13846768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July 30, 2008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July 31, 2009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39569</v>
      </c>
      <c r="H157" s="32" t="s">
        <v>81</v>
      </c>
      <c r="I157" s="112" t="str">
        <f>IF(ISBLANK('[1]Demand'!AA2882)," ",'[1]Demand'!AA2882)</f>
        <v>5, 9, 14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13.430000000000001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2417400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2417400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0">
        <f>'[1]Instruct &amp; Input'!Y32</f>
        <v>11.71</v>
      </c>
      <c r="G181" s="66">
        <f>'[1]Estimates'!D20+'[1]Estimates'!F20</f>
        <v>1137000</v>
      </c>
      <c r="I181" s="92">
        <f>ROUND(G181*E181,0)</f>
        <v>13314270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13314270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0">
        <f>'[1]Instruct &amp; Input'!Y43</f>
        <v>0.0385</v>
      </c>
      <c r="G185" s="66">
        <f>'[1]Estimates'!I38</f>
        <v>1001000</v>
      </c>
      <c r="I185" s="57">
        <f>ROUND(G185*E185,0)</f>
        <v>38539</v>
      </c>
    </row>
    <row r="186" spans="1:9" ht="12.75" customHeight="1">
      <c r="A186" s="96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0">
        <f>'[1]Instruct &amp; Input'!Y44</f>
        <v>0.0385</v>
      </c>
      <c r="G186" s="66">
        <f>'[1]Estimates'!J38</f>
        <v>1137000</v>
      </c>
      <c r="I186" s="57">
        <f>ROUND(G186*E186,0)</f>
        <v>43775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0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0">
        <f>'[1]Instruct &amp; Input'!Y42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82314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15813984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July 30, 2008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4.73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3.3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13.430000000000001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July 30, 2008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July 31, 2009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39539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339648</v>
      </c>
      <c r="H255" s="46"/>
      <c r="I255" s="78">
        <f>IF(AND(ISBLANK('[1]Demand'!Y2892),'[1]Demand'!W2892&gt;0),'[1]Demand'!W2892," ")</f>
        <v>1128922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1128922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1128922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July 30, 2008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July 31, 2009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0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0">
        <f>'[1]Instruct &amp; Input'!Y46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July 30, 2008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July 31, 2009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July 30, 2008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July 31, 2009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July 30, 2008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July 31, 2009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July 30, 2008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July 31, 2009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1867497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1867497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1867497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July 30, 2008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July 31, 2009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N/A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0">
        <f>'[1]Instruct &amp; Input'!Y32</f>
        <v>11.71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July 30, 2008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July 31, 2009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13255741.44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13255741.44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13255741.44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6">
      <selection activeCell="F12" sqref="F12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July 30, 2008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July 31, 2009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Input'!Y33</f>
        <v>12.75</v>
      </c>
      <c r="D25" s="122">
        <f>'[1]Volume Mix'!C45</f>
        <v>4900000</v>
      </c>
      <c r="E25" s="47">
        <f>ROUND(C25*D25,0)</f>
        <v>62475000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62475000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Input'!Y34</f>
        <v>12.58</v>
      </c>
      <c r="D41" s="122">
        <f>'[1]Volume Mix'!C46+'[1]Volume Mix'!C43</f>
        <v>43971000</v>
      </c>
      <c r="E41" s="47">
        <f>ROUND(C41*D41,0)</f>
        <v>553155180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553155180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July 31, 2009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July 31, 2009</v>
      </c>
      <c r="D13" s="80" t="s">
        <v>19</v>
      </c>
      <c r="E13" s="47">
        <f>('[1]Sales &amp; CHOICE Volumes'!B51)</f>
        <v>73609000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July 31, 2009</v>
      </c>
      <c r="D15" s="80" t="s">
        <v>19</v>
      </c>
      <c r="E15" s="60">
        <f>E13</f>
        <v>73609000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-106589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-106589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-106589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-112451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July 31, 2009</v>
      </c>
      <c r="D31" s="80" t="s">
        <v>19</v>
      </c>
      <c r="E31" s="130">
        <f>E13</f>
        <v>73609000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-0.0015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39563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-1055.37</v>
      </c>
    </row>
    <row r="45" spans="1:5" ht="12.75" customHeight="1">
      <c r="A45" s="45"/>
      <c r="B45" s="47" t="str">
        <f>IF('[1]Instruct &amp; Input'!V6=0," ",'[1]Instruct &amp; Input'!V6)</f>
        <v>TRUNKLINE PIPELINE</v>
      </c>
      <c r="D45" s="80"/>
      <c r="E45" s="47">
        <f>IF('[1]Instruct &amp; Input'!Y6=0," ",'[1]Instruct &amp; Input'!Y6)</f>
        <v>-178.92</v>
      </c>
    </row>
    <row r="46" spans="1:5" ht="12.75" customHeight="1">
      <c r="A46" s="45"/>
      <c r="B46" s="47" t="str">
        <f>IF('[1]Instruct &amp; Input'!V7=0," ",'[1]Instruct &amp; Input'!V7)</f>
        <v>PANHANDLE EASTERN PIPELINE COMPANY</v>
      </c>
      <c r="D46" s="80"/>
      <c r="E46" s="47">
        <f>IF('[1]Instruct &amp; Input'!Y7=0," ",'[1]Instruct &amp; Input'!Y7)</f>
        <v>-2201.3999999999996</v>
      </c>
    </row>
    <row r="47" spans="1:5" ht="12.75" customHeight="1">
      <c r="A47" s="45"/>
      <c r="B47" s="47" t="str">
        <f>IF('[1]Instruct &amp; Input'!V8=0," ",'[1]Instruct &amp; Input'!V8)</f>
        <v>TRUNKLINE PIPELINE</v>
      </c>
      <c r="D47" s="80"/>
      <c r="E47" s="47">
        <f>IF('[1]Instruct &amp; Input'!Y8=0," ",'[1]Instruct &amp; Input'!Y8)</f>
        <v>-127.65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>
        <f>IF('[1]Instruct &amp; Input'!Y9=0," ",'[1]Instruct &amp; Input'!Y9)</f>
        <v>-1566.2800000000002</v>
      </c>
    </row>
    <row r="49" spans="1:5" ht="12.75" customHeight="1">
      <c r="A49" s="45"/>
      <c r="B49" s="47" t="str">
        <f>IF('[1]Instruct &amp; Input'!V10=0," ",'[1]Instruct &amp; Input'!V10)</f>
        <v>TENNESSEE GAS PIPELINE COMPANY</v>
      </c>
      <c r="D49" s="80"/>
      <c r="E49" s="47">
        <f>IF('[1]Instruct &amp; Input'!Y10=0," ",'[1]Instruct &amp; Input'!Y10)</f>
        <v>-2.07</v>
      </c>
    </row>
    <row r="50" spans="1:5" ht="12.75" customHeight="1">
      <c r="A50" s="45"/>
      <c r="B50" s="47" t="str">
        <f>IF('[1]Instruct &amp; Input'!V11=0," ",'[1]Instruct &amp; Input'!V11)</f>
        <v>COLUMBIA GAS TRANSMISSION CORPORATION</v>
      </c>
      <c r="D50" s="80"/>
      <c r="E50" s="47">
        <f>IF('[1]Instruct &amp; Input'!Y11=0," ",'[1]Instruct &amp; Input'!Y11)</f>
        <v>-101457.31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PANHANDLE EASTERN PIPELINE COMPANY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PANHANDLE EASTERN PIPELINE COMPANY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PANHANDLE EASTERN PIPELINE COMPANY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PANHANDLE EASTERN PIPELINE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PANHANDLE EASTERN PIPELINE COMPANY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COLUMBIA GULF TRANSMISSION COMPANY</v>
      </c>
      <c r="D59" s="80"/>
      <c r="E59" s="47" t="str">
        <f>IF('[1]Instruct &amp; Input'!Y20=0," ",'[1]Instruct &amp; Input'!Y20)</f>
        <v> </v>
      </c>
    </row>
    <row r="60" spans="1:5" ht="12.75" customHeight="1">
      <c r="A60" s="45"/>
      <c r="B60" s="47" t="str">
        <f>IF('[1]Instruct &amp; Input'!V21=0," ",'[1]Instruct &amp; Input'!V21)</f>
        <v>COLUMBIA GAS TRANSMISSION CORPORATION</v>
      </c>
      <c r="D60" s="80"/>
      <c r="E60" s="47" t="str">
        <f>IF('[1]Instruct &amp; Input'!Y21=0," ",'[1]Instruct &amp; Input'!Y21)</f>
        <v> </v>
      </c>
    </row>
    <row r="61" spans="1:5" ht="12.75" customHeight="1">
      <c r="A61" s="45"/>
      <c r="B61" s="47" t="str">
        <f>IF('[1]Instruct &amp; Input'!V22=0," ",'[1]Instruct &amp; Input'!V22)</f>
        <v>COLUMBIA GAS TRANSMISSION CORPORATION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COLUMBIA GAS TRANSMISSION CORPORATION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4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-106589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6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39563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E8-56</f>
        <v>39507</v>
      </c>
      <c r="E11" s="136">
        <f>E8-25</f>
        <v>39538</v>
      </c>
      <c r="F11" s="136">
        <f>E8+5</f>
        <v>39568</v>
      </c>
      <c r="H11" s="137">
        <f>F11-90</f>
        <v>39478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15226412</v>
      </c>
      <c r="E13" s="122">
        <f>VLOOKUP(E11,ACTUALS,3)</f>
        <v>12057444</v>
      </c>
      <c r="F13" s="122">
        <f>VLOOKUP(F11,ACTUALS,3)</f>
        <v>3392886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15226412</v>
      </c>
      <c r="E16" s="139">
        <f>SUM(E13:E15)</f>
        <v>12057444</v>
      </c>
      <c r="F16" s="139">
        <f>SUM(F13:F15)</f>
        <v>3392886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171483951.96</v>
      </c>
      <c r="E19" s="122">
        <f>VLOOKUP(E11,ACTUALS,2)</f>
        <v>166447555.55</v>
      </c>
      <c r="F19" s="122">
        <f>VLOOKUP(F11,ACTUALS,2)</f>
        <v>46734952.07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-240642.91</v>
      </c>
      <c r="E20" s="122">
        <f>VLOOKUP(E11,TABLE242,16)</f>
        <v>-252697.82</v>
      </c>
      <c r="F20" s="122">
        <f>VLOOKUP(F11,TABLE242,16)</f>
        <v>-238909.33</v>
      </c>
      <c r="G20" s="140" t="s">
        <v>189</v>
      </c>
      <c r="H20" s="55">
        <f>(VLOOKUP(H11,TABLE242,8)-VLOOKUP(F11,TABLE242,8))+SUM(D20:F20)</f>
        <v>-732250.0599999999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-135123.39</v>
      </c>
      <c r="E21" s="122">
        <f>VLOOKUP(E11,TABLE242,10)</f>
        <v>-147736.35</v>
      </c>
      <c r="F21" s="122">
        <f>VLOOKUP(F11,TABLE242,10)</f>
        <v>-139624.46</v>
      </c>
      <c r="G21" s="140" t="s">
        <v>189</v>
      </c>
      <c r="H21" s="55">
        <f>(VLOOKUP(H11,TABLE242,2)-VLOOKUP(F11,TABLE242,2))+SUM(D21:F21)</f>
        <v>-422484.19999999995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-3990.96</v>
      </c>
      <c r="E23" s="122">
        <f>VLOOKUP(E11,TABLE242,12)</f>
        <v>-41314.49</v>
      </c>
      <c r="F23" s="122">
        <f>VLOOKUP(F11,TABLE242,12)</f>
        <v>-11082.09</v>
      </c>
      <c r="G23" s="140" t="s">
        <v>189</v>
      </c>
      <c r="H23" s="55">
        <f>(VLOOKUP(H11,TABLE242,4)-VLOOKUP(F11,TABLE242,4))+SUM(D23:F23)</f>
        <v>-56387.53999999999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-12003.27</v>
      </c>
      <c r="E24" s="122">
        <f>VLOOKUP(E11,TABLE242,13)</f>
        <v>-12025.72</v>
      </c>
      <c r="F24" s="122">
        <f>VLOOKUP(F11,TABLE242,13)</f>
        <v>-11162.22</v>
      </c>
      <c r="G24" s="140" t="s">
        <v>189</v>
      </c>
      <c r="H24" s="55">
        <f>(VLOOKUP(H11,TABLE242,5)-VLOOKUP(F11,TABLE242,5))+SUM(D24:F24)</f>
        <v>-35191.21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171092191.43</v>
      </c>
      <c r="E27" s="139">
        <f>SUM(E19:E26)</f>
        <v>165993781.17000002</v>
      </c>
      <c r="F27" s="139">
        <f>SUM(F19:F26)</f>
        <v>46334173.97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14803503</v>
      </c>
      <c r="E28" s="47">
        <f>'[1]Sales &amp; CHOICE Volumes'!B25+'[1]Sales &amp; CHOICE Volumes'!D25</f>
        <v>14530168</v>
      </c>
      <c r="F28" s="47">
        <f>'[1]Sales &amp; CHOICE Volumes'!B26+'[1]Sales &amp; CHOICE Volumes'!D26</f>
        <v>9127864</v>
      </c>
    </row>
    <row r="29" spans="1:6" ht="12.75" customHeight="1">
      <c r="A29" s="45" t="s">
        <v>199</v>
      </c>
      <c r="C29" s="80" t="s">
        <v>8</v>
      </c>
      <c r="D29" s="141">
        <f>ROUND(D27/D28,4)</f>
        <v>11.5575</v>
      </c>
      <c r="E29" s="141">
        <f>ROUND(E27/E28,4)</f>
        <v>11.4241</v>
      </c>
      <c r="F29" s="141">
        <f>ROUND(F27/F28,4)</f>
        <v>5.0761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10.9592</v>
      </c>
      <c r="E32" s="142">
        <v>11.0507</v>
      </c>
      <c r="F32" s="142">
        <v>12.1038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12978723</v>
      </c>
      <c r="E33" s="143">
        <f>VLOOKUP(E11,ADJUSTTABLE,2)</f>
        <v>12690788</v>
      </c>
      <c r="F33" s="143">
        <f>VLOOKUP(F11,ADJUSTTABLE,2)</f>
        <v>7905968.9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142236421</v>
      </c>
      <c r="E34" s="47">
        <f>ROUND(E32*E33,0)</f>
        <v>140242091</v>
      </c>
      <c r="F34" s="47">
        <f>ROUND(F32*F33,0)</f>
        <v>95692266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Work'!D9-0.0176</f>
        <v>10.881499999999999</v>
      </c>
      <c r="E36" s="142">
        <f>E32+'[1]Summ Work'!D9-0.0176</f>
        <v>10.973</v>
      </c>
      <c r="F36" s="142">
        <f>F32+'[1]Summ Work'!D9</f>
        <v>12.0437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1824780</v>
      </c>
      <c r="E37" s="143">
        <f>VLOOKUP(E11,PIPTABLE,2)</f>
        <v>1839380</v>
      </c>
      <c r="F37" s="143">
        <f>VLOOKUP(F11,PIPTABLE,2)</f>
        <v>1221895.1</v>
      </c>
      <c r="G37" s="4" t="s">
        <v>207</v>
      </c>
    </row>
    <row r="38" spans="1:6" ht="12.75" customHeight="1">
      <c r="A38" s="45"/>
      <c r="B38" s="4" t="s">
        <v>208</v>
      </c>
      <c r="C38" s="80" t="s">
        <v>17</v>
      </c>
      <c r="D38" s="60">
        <f>ROUND(D37*D36,0)</f>
        <v>19856344</v>
      </c>
      <c r="E38" s="60">
        <f>ROUND(E37*E36,0)</f>
        <v>20183517</v>
      </c>
      <c r="F38" s="60">
        <f>ROUND(F37*F36,0)</f>
        <v>14716138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209</v>
      </c>
      <c r="C40" s="80" t="s">
        <v>17</v>
      </c>
      <c r="D40" s="144">
        <f>SUM(D38+D34)</f>
        <v>162092765</v>
      </c>
      <c r="E40" s="144">
        <f>SUM(E38+E34)</f>
        <v>160425608</v>
      </c>
      <c r="F40" s="144">
        <f>SUM(F38+F34)</f>
        <v>110408404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210</v>
      </c>
      <c r="C42" s="80" t="s">
        <v>17</v>
      </c>
      <c r="D42" s="144">
        <f>SUM(D27-D40)</f>
        <v>8999426.430000007</v>
      </c>
      <c r="E42" s="144">
        <f>SUM(E27-E40)</f>
        <v>5568173.170000017</v>
      </c>
      <c r="F42" s="144">
        <f>SUM(F27-F40)</f>
        <v>-64074230.03</v>
      </c>
    </row>
    <row r="43" spans="1:6" ht="12.75" customHeight="1">
      <c r="A43" s="45" t="s">
        <v>211</v>
      </c>
      <c r="C43" s="67"/>
      <c r="D43" s="145"/>
      <c r="E43" s="145"/>
      <c r="F43" s="144">
        <f>-39408.2+33654.46-182402.65</f>
        <v>-188156.38999999998</v>
      </c>
    </row>
    <row r="44" spans="1:6" ht="12.75" customHeight="1">
      <c r="A44" s="146" t="s">
        <v>212</v>
      </c>
      <c r="B44" s="8"/>
      <c r="C44" s="12" t="s">
        <v>17</v>
      </c>
      <c r="D44" s="8"/>
      <c r="E44" s="8"/>
      <c r="F44" s="139">
        <f>'Sched 4 File'!E49</f>
        <v>-1530189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213</v>
      </c>
      <c r="E47" s="15" t="s">
        <v>17</v>
      </c>
      <c r="F47" s="144">
        <f>SUM(D42:F42)+F44+F43</f>
        <v>-51224975.81999998</v>
      </c>
    </row>
    <row r="48" spans="1:7" ht="12.75" customHeight="1">
      <c r="A48" s="45"/>
      <c r="C48" s="32" t="s">
        <v>214</v>
      </c>
      <c r="D48" s="125" t="str">
        <f>'[1]Instruct &amp; Input'!C8</f>
        <v>July 31, 2009</v>
      </c>
      <c r="E48" s="15" t="s">
        <v>19</v>
      </c>
      <c r="F48" s="139">
        <f>'Sched 2 File'!E15</f>
        <v>73609000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215</v>
      </c>
      <c r="B50" s="8"/>
      <c r="C50" s="8"/>
      <c r="D50" s="8"/>
      <c r="E50" s="12" t="s">
        <v>8</v>
      </c>
      <c r="F50" s="141">
        <f>ROUND(F47/F48,4)</f>
        <v>-0.6959</v>
      </c>
      <c r="G50" s="4" t="s">
        <v>158</v>
      </c>
    </row>
    <row r="51" ht="12.75" customHeight="1">
      <c r="G51" s="4" t="s">
        <v>216</v>
      </c>
    </row>
    <row r="52" ht="12.75" customHeight="1">
      <c r="A52" s="147"/>
    </row>
    <row r="59" ht="12.75" customHeight="1">
      <c r="A59" s="147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D1">
      <selection activeCell="F12" sqref="F12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8" t="s">
        <v>217</v>
      </c>
      <c r="K1" s="32" t="s">
        <v>217</v>
      </c>
      <c r="Q1" s="32" t="s">
        <v>217</v>
      </c>
      <c r="W1" s="32" t="s">
        <v>217</v>
      </c>
    </row>
    <row r="2" spans="2:23" ht="12.75" customHeight="1">
      <c r="B2" s="1" t="s">
        <v>178</v>
      </c>
      <c r="C2" s="1"/>
      <c r="D2" s="2"/>
      <c r="E2" s="102"/>
      <c r="K2" s="32" t="s">
        <v>218</v>
      </c>
      <c r="Q2" s="32" t="s">
        <v>219</v>
      </c>
      <c r="W2" s="32" t="s">
        <v>220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49" t="s">
        <v>1</v>
      </c>
      <c r="M3" s="149"/>
      <c r="N3" s="149"/>
      <c r="O3" s="149"/>
      <c r="P3" s="149"/>
      <c r="Q3" s="149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2" t="s">
        <v>226</v>
      </c>
      <c r="C8" s="12" t="str">
        <f>'[1]Instruct &amp; Input'!C8</f>
        <v>July 31, 2009</v>
      </c>
    </row>
    <row r="9" spans="1:20" ht="12.75" customHeight="1">
      <c r="A9" s="8"/>
      <c r="B9" s="8"/>
      <c r="C9" s="8"/>
      <c r="D9" s="8"/>
      <c r="E9" s="59"/>
      <c r="G9" s="32" t="s">
        <v>227</v>
      </c>
      <c r="H9" s="2"/>
      <c r="M9" s="29" t="s">
        <v>228</v>
      </c>
      <c r="N9" s="2"/>
      <c r="S9" s="29" t="s">
        <v>229</v>
      </c>
      <c r="T9" s="2"/>
    </row>
    <row r="10" spans="1:23" ht="12.75" customHeight="1">
      <c r="A10" s="150"/>
      <c r="B10" s="12" t="s">
        <v>3</v>
      </c>
      <c r="C10" s="12"/>
      <c r="D10" s="12" t="s">
        <v>152</v>
      </c>
      <c r="E10" s="151" t="s">
        <v>153</v>
      </c>
      <c r="G10" s="32" t="s">
        <v>230</v>
      </c>
      <c r="H10" s="125">
        <f>'[1]Instruct &amp; Input'!C20</f>
        <v>39233</v>
      </c>
      <c r="I10" s="15" t="s">
        <v>231</v>
      </c>
      <c r="J10" s="125">
        <f>'[1]Instruct &amp; Input'!E20</f>
        <v>39563</v>
      </c>
      <c r="K10" s="152">
        <f>VLOOKUP(H10,raaabatable,6)</f>
        <v>96981561</v>
      </c>
      <c r="M10" s="32" t="s">
        <v>230</v>
      </c>
      <c r="N10" s="125">
        <f>'[1]Instruct &amp; Input'!C20</f>
        <v>39233</v>
      </c>
      <c r="O10" s="15" t="s">
        <v>231</v>
      </c>
      <c r="P10" s="125">
        <f>L39</f>
        <v>39563</v>
      </c>
      <c r="Q10" s="152">
        <f>VLOOKUP(N10,raaabatable,5)</f>
        <v>0</v>
      </c>
      <c r="S10" s="32" t="s">
        <v>230</v>
      </c>
      <c r="T10" s="125">
        <f>'[1]Instruct &amp; Input'!C22</f>
        <v>39503</v>
      </c>
      <c r="U10" s="15" t="s">
        <v>231</v>
      </c>
      <c r="V10" s="125">
        <f>R21</f>
        <v>39563</v>
      </c>
      <c r="W10" s="152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232</v>
      </c>
      <c r="D12" s="42"/>
      <c r="E12" s="47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5"/>
      <c r="B13" s="4" t="s">
        <v>235</v>
      </c>
      <c r="D13" s="42"/>
      <c r="E13" s="153" t="s">
        <v>236</v>
      </c>
      <c r="F13" s="15" t="s">
        <v>237</v>
      </c>
      <c r="G13" s="15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5"/>
      <c r="D14" s="42"/>
      <c r="E14" s="153" t="s">
        <v>241</v>
      </c>
      <c r="F14" s="64" t="s">
        <v>242</v>
      </c>
      <c r="G14" s="64" t="s">
        <v>243</v>
      </c>
      <c r="H14" s="64" t="s">
        <v>244</v>
      </c>
      <c r="I14" s="64" t="s">
        <v>245</v>
      </c>
      <c r="J14" s="64" t="s">
        <v>246</v>
      </c>
      <c r="K14" s="64" t="s">
        <v>247</v>
      </c>
      <c r="L14" s="64" t="s">
        <v>242</v>
      </c>
      <c r="M14" s="64" t="s">
        <v>243</v>
      </c>
      <c r="N14" s="64" t="s">
        <v>244</v>
      </c>
      <c r="O14" s="64" t="s">
        <v>245</v>
      </c>
      <c r="P14" s="64" t="s">
        <v>246</v>
      </c>
      <c r="Q14" s="64" t="s">
        <v>247</v>
      </c>
      <c r="R14" s="64" t="s">
        <v>242</v>
      </c>
      <c r="S14" s="64" t="s">
        <v>243</v>
      </c>
      <c r="T14" s="64" t="s">
        <v>244</v>
      </c>
      <c r="U14" s="64" t="s">
        <v>245</v>
      </c>
      <c r="V14" s="64" t="s">
        <v>246</v>
      </c>
      <c r="W14" s="64" t="s">
        <v>247</v>
      </c>
    </row>
    <row r="15" spans="1:23" ht="12.75" customHeight="1">
      <c r="A15" s="45" t="s">
        <v>248</v>
      </c>
      <c r="D15" s="42"/>
      <c r="E15" s="153" t="s">
        <v>14</v>
      </c>
      <c r="G15" s="15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5" ht="12.75" customHeight="1">
      <c r="A16" s="45"/>
      <c r="B16" s="4" t="s">
        <v>251</v>
      </c>
      <c r="D16" s="42"/>
      <c r="E16" s="153" t="s">
        <v>217</v>
      </c>
    </row>
    <row r="17" spans="1:23" ht="12.75" customHeight="1">
      <c r="A17" s="45"/>
      <c r="B17" s="4" t="s">
        <v>252</v>
      </c>
      <c r="D17" s="42"/>
      <c r="E17" s="153" t="s">
        <v>253</v>
      </c>
      <c r="F17" s="154">
        <f>H10</f>
        <v>39233</v>
      </c>
      <c r="G17" s="55">
        <f>VLOOKUP(F17,ADJUSTTABLE,2)</f>
        <v>3922916.3</v>
      </c>
      <c r="H17" s="55">
        <f>VLOOKUP(F17,ADJUSTTABLE,4)</f>
        <v>408543</v>
      </c>
      <c r="I17" s="55">
        <f>SUM(G17:H17)</f>
        <v>4331459.3</v>
      </c>
      <c r="J17" s="155">
        <f>VLOOKUP(H10,raaabatable,3)</f>
        <v>1.338</v>
      </c>
      <c r="K17" s="55">
        <f>ROUND(I17*J17,0)</f>
        <v>5795493</v>
      </c>
      <c r="L17" s="154">
        <f>N10</f>
        <v>39233</v>
      </c>
      <c r="M17" s="55">
        <f>VLOOKUP(L17,ADJUSTTABLE,2)</f>
        <v>3922916.3</v>
      </c>
      <c r="N17" s="55">
        <f>VLOOKUP(L17,ADJUSTTABLE,4)</f>
        <v>408543</v>
      </c>
      <c r="O17" s="55">
        <f>SUM(M17:N17)</f>
        <v>4331459.3</v>
      </c>
      <c r="P17" s="156">
        <f>VLOOKUP(N10,raaabatable,2)</f>
        <v>0</v>
      </c>
      <c r="Q17" s="55">
        <f>ROUND(O17*P17,0)</f>
        <v>0</v>
      </c>
      <c r="R17" s="154">
        <f>T10</f>
        <v>39503</v>
      </c>
      <c r="S17" s="55">
        <f>VLOOKUP(R17,ADJUSTTABLE,2)</f>
        <v>12978723</v>
      </c>
      <c r="T17" s="55">
        <f>VLOOKUP(R17,ADJUSTTABLE,4)</f>
        <v>0</v>
      </c>
      <c r="U17" s="55">
        <f>SUM(S17:T17)</f>
        <v>12978723</v>
      </c>
      <c r="V17" s="156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254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255</v>
      </c>
      <c r="D19" s="42"/>
      <c r="E19" s="47"/>
      <c r="F19" s="157">
        <f>SUM(F17+30)</f>
        <v>39263</v>
      </c>
      <c r="G19" s="55">
        <f>VLOOKUP(F19,ADJUSTTABLE,2)</f>
        <v>1796615.4</v>
      </c>
      <c r="H19" s="55">
        <f>VLOOKUP(F19,ADJUSTTABLE,4)</f>
        <v>0</v>
      </c>
      <c r="I19" s="55">
        <f>SUM(G19:H19)</f>
        <v>1796615.4</v>
      </c>
      <c r="J19" s="158">
        <f>J$17</f>
        <v>1.338</v>
      </c>
      <c r="K19" s="55">
        <f>ROUND(I19*J19,0)</f>
        <v>2403871</v>
      </c>
      <c r="L19" s="157">
        <f>SUM(L17+30)</f>
        <v>39263</v>
      </c>
      <c r="M19" s="55">
        <f>VLOOKUP(L19,ADJUSTTABLE,2)</f>
        <v>1796615.4</v>
      </c>
      <c r="N19" s="55">
        <f>VLOOKUP(L19,ADJUSTTABLE,4)</f>
        <v>0</v>
      </c>
      <c r="O19" s="55">
        <f>SUM(M19:N19)</f>
        <v>1796615.4</v>
      </c>
      <c r="P19" s="4">
        <f>P$17</f>
        <v>0</v>
      </c>
      <c r="Q19" s="55">
        <f>ROUND(O19*P19,0)</f>
        <v>0</v>
      </c>
      <c r="R19" s="157">
        <f>SUM(R17+30)</f>
        <v>39533</v>
      </c>
      <c r="S19" s="55">
        <f>VLOOKUP(R19,ADJUSTTABLE,2)</f>
        <v>12690788</v>
      </c>
      <c r="T19" s="55">
        <f>VLOOKUP(R19,ADJUSTTABLE,4)</f>
        <v>0</v>
      </c>
      <c r="U19" s="55">
        <f>SUM(S19:T19)</f>
        <v>12690788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223</v>
      </c>
      <c r="D21" s="80" t="s">
        <v>17</v>
      </c>
      <c r="E21" s="139">
        <f>K44</f>
        <v>-1530189</v>
      </c>
      <c r="F21" s="157">
        <f>SUM(F19+30)</f>
        <v>39293</v>
      </c>
      <c r="G21" s="55">
        <f>VLOOKUP(F21,ADJUSTTABLE,2)</f>
        <v>1529302.5</v>
      </c>
      <c r="H21" s="55">
        <f>VLOOKUP(F21,ADJUSTTABLE,4)</f>
        <v>0</v>
      </c>
      <c r="I21" s="55">
        <f>SUM(G21:H21)</f>
        <v>1529302.5</v>
      </c>
      <c r="J21" s="158">
        <f>J$17</f>
        <v>1.338</v>
      </c>
      <c r="K21" s="55">
        <f>ROUND(I21*J21,0)</f>
        <v>2046207</v>
      </c>
      <c r="L21" s="157">
        <f>SUM(L19+30)</f>
        <v>39293</v>
      </c>
      <c r="M21" s="55">
        <f>VLOOKUP(L21,ADJUSTTABLE,2)</f>
        <v>1529302.5</v>
      </c>
      <c r="N21" s="55">
        <f>VLOOKUP(L21,ADJUSTTABLE,4)</f>
        <v>0</v>
      </c>
      <c r="O21" s="55">
        <f>SUM(M21:N21)</f>
        <v>1529302.5</v>
      </c>
      <c r="P21" s="4">
        <f>P$17</f>
        <v>0</v>
      </c>
      <c r="Q21" s="55">
        <f>ROUND(O21*P21,0)</f>
        <v>0</v>
      </c>
      <c r="R21" s="157">
        <f>SUM(R19+30)</f>
        <v>39563</v>
      </c>
      <c r="S21" s="101">
        <f>VLOOKUP(R21,ADJUSTTABLE,2)</f>
        <v>12690788</v>
      </c>
      <c r="T21" s="101">
        <f>VLOOKUP(R21,ADJUSTTABLE,4)</f>
        <v>0</v>
      </c>
      <c r="U21" s="101">
        <f>SUM(S21:T21)</f>
        <v>12690788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7">
        <f>SUM(F21+30)</f>
        <v>39323</v>
      </c>
      <c r="G23" s="55">
        <f>VLOOKUP(F23,ADJUSTTABLE,2)</f>
        <v>1322229</v>
      </c>
      <c r="H23" s="55">
        <f>VLOOKUP(F23,ADJUSTTABLE,4)</f>
        <v>0</v>
      </c>
      <c r="I23" s="55">
        <f>SUM(G23:H23)</f>
        <v>1322229</v>
      </c>
      <c r="J23" s="158">
        <f>J$17</f>
        <v>1.338</v>
      </c>
      <c r="K23" s="55">
        <f>ROUND(I23*J23,0)</f>
        <v>1769142</v>
      </c>
      <c r="L23" s="157">
        <f>SUM(L21+30)</f>
        <v>39323</v>
      </c>
      <c r="M23" s="55">
        <f>VLOOKUP(L23,ADJUSTTABLE,2)</f>
        <v>1322229</v>
      </c>
      <c r="N23" s="55">
        <f>VLOOKUP(L23,ADJUSTTABLE,4)</f>
        <v>0</v>
      </c>
      <c r="O23" s="55">
        <f>SUM(M23:N23)</f>
        <v>1322229</v>
      </c>
      <c r="P23" s="4">
        <f>P$17</f>
        <v>0</v>
      </c>
      <c r="Q23" s="55">
        <f>ROUND(O23*P23,0)</f>
        <v>0</v>
      </c>
      <c r="R23" s="157" t="s">
        <v>245</v>
      </c>
      <c r="S23" s="55">
        <f>SUM(S17:S21)</f>
        <v>38360299</v>
      </c>
      <c r="T23" s="55">
        <f>SUM(T17:T21)</f>
        <v>0</v>
      </c>
      <c r="U23" s="55">
        <f>SUM(U17:U21)</f>
        <v>38360299</v>
      </c>
      <c r="W23" s="101">
        <f>SUM(W17:W21)</f>
        <v>0</v>
      </c>
    </row>
    <row r="24" spans="1:24" ht="12.75" customHeight="1">
      <c r="A24" s="45" t="s">
        <v>256</v>
      </c>
      <c r="D24" s="42"/>
      <c r="E24" s="47"/>
      <c r="G24" s="55"/>
      <c r="H24" s="55"/>
      <c r="I24" s="55"/>
      <c r="M24" s="55"/>
      <c r="N24" s="55"/>
      <c r="O24" s="55"/>
      <c r="R24" s="159"/>
      <c r="S24" s="160"/>
      <c r="T24" s="160"/>
      <c r="U24" s="160"/>
      <c r="V24" s="161"/>
      <c r="W24" s="162"/>
      <c r="X24" s="159"/>
    </row>
    <row r="25" spans="1:23" ht="12.75" customHeight="1" thickBot="1">
      <c r="A25" s="45"/>
      <c r="B25" s="4" t="s">
        <v>257</v>
      </c>
      <c r="D25" s="42"/>
      <c r="E25" s="47"/>
      <c r="F25" s="157">
        <f>SUM(F23+30)</f>
        <v>39353</v>
      </c>
      <c r="G25" s="55">
        <f>VLOOKUP(F25,ADJUSTTABLE,2)</f>
        <v>1395702.3</v>
      </c>
      <c r="H25" s="55">
        <f>VLOOKUP(F25,ADJUSTTABLE,4)</f>
        <v>0</v>
      </c>
      <c r="I25" s="55">
        <f>SUM(G25:H25)</f>
        <v>1395702.3</v>
      </c>
      <c r="J25" s="158">
        <f>J$17</f>
        <v>1.338</v>
      </c>
      <c r="K25" s="55">
        <f>ROUND(I25*J25,0)</f>
        <v>1867450</v>
      </c>
      <c r="L25" s="157">
        <f>SUM(L23+30)</f>
        <v>39353</v>
      </c>
      <c r="M25" s="55">
        <f>VLOOKUP(L25,ADJUSTTABLE,2)</f>
        <v>1395702.3</v>
      </c>
      <c r="N25" s="55">
        <f>VLOOKUP(L25,ADJUSTTABLE,4)</f>
        <v>0</v>
      </c>
      <c r="O25" s="55">
        <f>SUM(M25:N25)</f>
        <v>1395702.3</v>
      </c>
      <c r="P25" s="4">
        <f>P$17</f>
        <v>0</v>
      </c>
      <c r="Q25" s="55">
        <f>ROUND(O25*P25,0)</f>
        <v>0</v>
      </c>
      <c r="R25" s="157" t="s">
        <v>225</v>
      </c>
      <c r="S25" s="55"/>
      <c r="T25" s="55"/>
      <c r="U25" s="55"/>
      <c r="W25" s="163">
        <f>SUM(W10-W23)+W24</f>
        <v>0</v>
      </c>
    </row>
    <row r="26" spans="1:21" ht="12.75" customHeight="1" thickTop="1">
      <c r="A26" s="45"/>
      <c r="B26" s="4" t="s">
        <v>258</v>
      </c>
      <c r="D26" s="42"/>
      <c r="E26" s="153" t="s">
        <v>236</v>
      </c>
      <c r="G26" s="55"/>
      <c r="H26" s="55"/>
      <c r="I26" s="55"/>
      <c r="M26" s="55"/>
      <c r="N26" s="55"/>
      <c r="O26" s="55"/>
      <c r="R26" s="4" t="s">
        <v>259</v>
      </c>
      <c r="S26" s="55"/>
      <c r="T26" s="55"/>
      <c r="U26" s="55"/>
    </row>
    <row r="27" spans="1:23" ht="12.75" customHeight="1">
      <c r="A27" s="45"/>
      <c r="D27" s="42"/>
      <c r="E27" s="153" t="s">
        <v>241</v>
      </c>
      <c r="F27" s="157">
        <f>SUM(F25+30)</f>
        <v>39383</v>
      </c>
      <c r="G27" s="55">
        <f>VLOOKUP(F27,ADJUSTTABLE,2)</f>
        <v>1592882.4</v>
      </c>
      <c r="H27" s="55">
        <f>VLOOKUP(F27,ADJUSTTABLE,4)</f>
        <v>0</v>
      </c>
      <c r="I27" s="55">
        <f>SUM(G27:H27)</f>
        <v>1592882.4</v>
      </c>
      <c r="J27" s="158">
        <f>J$17</f>
        <v>1.338</v>
      </c>
      <c r="K27" s="55">
        <f>ROUND(I27*J27,0)</f>
        <v>2131277</v>
      </c>
      <c r="L27" s="157">
        <f>SUM(L25+30)</f>
        <v>39383</v>
      </c>
      <c r="M27" s="55">
        <f>VLOOKUP(L27,ADJUSTTABLE,2)</f>
        <v>1592882.4</v>
      </c>
      <c r="N27" s="55">
        <f>VLOOKUP(L27,ADJUSTTABLE,4)</f>
        <v>0</v>
      </c>
      <c r="O27" s="55">
        <f>SUM(M27:N27)</f>
        <v>1592882.4</v>
      </c>
      <c r="P27" s="4">
        <f>P$17</f>
        <v>0</v>
      </c>
      <c r="Q27" s="55">
        <f>ROUND(O27*P27,0)</f>
        <v>0</v>
      </c>
      <c r="R27" s="147" t="s">
        <v>260</v>
      </c>
      <c r="S27" s="55"/>
      <c r="T27" s="55"/>
      <c r="U27" s="55"/>
      <c r="W27" s="55"/>
    </row>
    <row r="28" spans="1:21" ht="12.75" customHeight="1">
      <c r="A28" s="45" t="s">
        <v>261</v>
      </c>
      <c r="D28" s="42"/>
      <c r="E28" s="153" t="s">
        <v>14</v>
      </c>
      <c r="G28" s="55"/>
      <c r="H28" s="55"/>
      <c r="I28" s="55"/>
      <c r="M28" s="55"/>
      <c r="N28" s="55"/>
      <c r="O28" s="55"/>
      <c r="R28" s="147" t="s">
        <v>262</v>
      </c>
      <c r="T28" s="55"/>
      <c r="U28" s="55"/>
    </row>
    <row r="29" spans="1:23" ht="12.75" customHeight="1">
      <c r="A29" s="45"/>
      <c r="B29" s="4" t="s">
        <v>263</v>
      </c>
      <c r="D29" s="42"/>
      <c r="E29" s="164" t="s">
        <v>217</v>
      </c>
      <c r="F29" s="157">
        <f>SUM(F27+30)</f>
        <v>39413</v>
      </c>
      <c r="G29" s="55">
        <f>VLOOKUP(F29,ADJUSTTABLE,2)</f>
        <v>5068719.5</v>
      </c>
      <c r="H29" s="55">
        <f>VLOOKUP(F29,ADJUSTTABLE,4)</f>
        <v>0</v>
      </c>
      <c r="I29" s="55">
        <f>SUM(G29:H29)</f>
        <v>5068719.5</v>
      </c>
      <c r="J29" s="158">
        <f>J$17</f>
        <v>1.338</v>
      </c>
      <c r="K29" s="55">
        <f>ROUND(I29*J29,0)</f>
        <v>6781947</v>
      </c>
      <c r="L29" s="157">
        <f>SUM(L27+30)</f>
        <v>39413</v>
      </c>
      <c r="M29" s="55">
        <f>VLOOKUP(L29,ADJUSTTABLE,2)</f>
        <v>5068719.5</v>
      </c>
      <c r="N29" s="55">
        <f>VLOOKUP(L29,ADJUSTTABLE,4)</f>
        <v>0</v>
      </c>
      <c r="O29" s="55">
        <f>SUM(M29:N29)</f>
        <v>5068719.5</v>
      </c>
      <c r="P29" s="4">
        <f>P$17</f>
        <v>0</v>
      </c>
      <c r="Q29" s="55">
        <f>ROUND(O29*P29,0)</f>
        <v>0</v>
      </c>
      <c r="R29" s="157"/>
      <c r="S29" s="55"/>
      <c r="T29" s="55"/>
      <c r="U29" s="55"/>
      <c r="W29" s="55"/>
    </row>
    <row r="30" spans="1:21" ht="12.75" customHeight="1">
      <c r="A30" s="45"/>
      <c r="B30" s="4" t="s">
        <v>264</v>
      </c>
      <c r="D30" s="42"/>
      <c r="E30" s="153" t="s">
        <v>265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266</v>
      </c>
      <c r="D31" s="42"/>
      <c r="E31" s="47"/>
      <c r="F31" s="157">
        <f>SUM(F29+30)</f>
        <v>39443</v>
      </c>
      <c r="G31" s="55">
        <f>VLOOKUP(F31,ADJUSTTABLE,2)</f>
        <v>10230484.5</v>
      </c>
      <c r="H31" s="55">
        <f>VLOOKUP(F31,ADJUSTTABLE,4)</f>
        <v>0</v>
      </c>
      <c r="I31" s="55">
        <f>SUM(G31:H31)</f>
        <v>10230484.5</v>
      </c>
      <c r="J31" s="158">
        <f>J$17</f>
        <v>1.338</v>
      </c>
      <c r="K31" s="55">
        <f>ROUND(I31*J31,0)</f>
        <v>13688388</v>
      </c>
      <c r="L31" s="157">
        <f>SUM(L29+30)</f>
        <v>39443</v>
      </c>
      <c r="M31" s="55">
        <f>VLOOKUP(L31,ADJUSTTABLE,2)</f>
        <v>10230484.5</v>
      </c>
      <c r="N31" s="55">
        <f>VLOOKUP(L31,ADJUSTTABLE,4)</f>
        <v>0</v>
      </c>
      <c r="O31" s="55">
        <f>SUM(M31:N31)</f>
        <v>10230484.5</v>
      </c>
      <c r="P31" s="4">
        <f>P$17</f>
        <v>0</v>
      </c>
      <c r="Q31" s="55">
        <f>ROUND(O31*P31,0)</f>
        <v>0</v>
      </c>
      <c r="R31" s="157"/>
      <c r="S31" s="55"/>
      <c r="T31" s="55"/>
      <c r="U31" s="55"/>
      <c r="W31" s="55"/>
    </row>
    <row r="32" spans="1:21" ht="12.75" customHeight="1">
      <c r="A32" s="45"/>
      <c r="B32" s="4" t="s">
        <v>254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255</v>
      </c>
      <c r="D33" s="42"/>
      <c r="E33" s="47"/>
      <c r="F33" s="157">
        <f>SUM(F31+30)</f>
        <v>39473</v>
      </c>
      <c r="G33" s="55">
        <f>VLOOKUP(F33,ADJUSTTABLE,2)</f>
        <v>12783246.7</v>
      </c>
      <c r="H33" s="55">
        <f>VLOOKUP(F33,ADJUSTTABLE,4)</f>
        <v>0</v>
      </c>
      <c r="I33" s="55">
        <f>SUM(G33:H33)</f>
        <v>12783246.7</v>
      </c>
      <c r="J33" s="158">
        <f>J$17</f>
        <v>1.338</v>
      </c>
      <c r="K33" s="55">
        <f>ROUND(I33*J33,0)</f>
        <v>17103984</v>
      </c>
      <c r="L33" s="157">
        <f>SUM(L31+30)</f>
        <v>39473</v>
      </c>
      <c r="M33" s="55">
        <f>VLOOKUP(L33,ADJUSTTABLE,2)</f>
        <v>12783246.7</v>
      </c>
      <c r="N33" s="55">
        <f>VLOOKUP(L33,ADJUSTTABLE,4)</f>
        <v>0</v>
      </c>
      <c r="O33" s="55">
        <f>SUM(M33:N33)</f>
        <v>12783246.7</v>
      </c>
      <c r="P33" s="4">
        <f>P$17</f>
        <v>0</v>
      </c>
      <c r="Q33" s="55">
        <f>ROUND(O33*P33,0)</f>
        <v>0</v>
      </c>
      <c r="R33" s="157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224</v>
      </c>
      <c r="D35" s="80" t="s">
        <v>17</v>
      </c>
      <c r="E35" s="139">
        <f>Q44</f>
        <v>0</v>
      </c>
      <c r="F35" s="157">
        <f>SUM(F33+30)</f>
        <v>39503</v>
      </c>
      <c r="G35" s="55">
        <f>VLOOKUP(F35,ADJUSTTABLE,2)</f>
        <v>12978723</v>
      </c>
      <c r="H35" s="55">
        <f>VLOOKUP(F35,ADJUSTTABLE,4)</f>
        <v>0</v>
      </c>
      <c r="I35" s="55">
        <f>SUM(G35:H35)</f>
        <v>12978723</v>
      </c>
      <c r="J35" s="158">
        <f>J$17</f>
        <v>1.338</v>
      </c>
      <c r="K35" s="55">
        <f>ROUND(I35*J35,0)</f>
        <v>17365531</v>
      </c>
      <c r="L35" s="157">
        <f>SUM(L33+30)</f>
        <v>39503</v>
      </c>
      <c r="M35" s="55">
        <f>VLOOKUP(L35,ADJUSTTABLE,2)</f>
        <v>12978723</v>
      </c>
      <c r="N35" s="55">
        <f>VLOOKUP(L35,ADJUSTTABLE,4)</f>
        <v>0</v>
      </c>
      <c r="O35" s="55">
        <f>SUM(M35:N35)</f>
        <v>12978723</v>
      </c>
      <c r="P35" s="4">
        <f>P$17</f>
        <v>0</v>
      </c>
      <c r="Q35" s="55">
        <f>ROUND(O35*P35,0)</f>
        <v>0</v>
      </c>
      <c r="R35" s="157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7">
        <f>SUM(F35+30)</f>
        <v>39533</v>
      </c>
      <c r="G37" s="55">
        <f>VLOOKUP(F37,ADJUSTTABLE,2)</f>
        <v>12690788</v>
      </c>
      <c r="H37" s="55">
        <f>VLOOKUP(F37,ADJUSTTABLE,4)</f>
        <v>0</v>
      </c>
      <c r="I37" s="55">
        <f>SUM(G37:H37)</f>
        <v>12690788</v>
      </c>
      <c r="J37" s="158">
        <f>J$17</f>
        <v>1.338</v>
      </c>
      <c r="K37" s="55">
        <f>ROUND(I37*J37,0)</f>
        <v>16980274</v>
      </c>
      <c r="L37" s="157">
        <f>SUM(L35+30)</f>
        <v>39533</v>
      </c>
      <c r="M37" s="55">
        <f>VLOOKUP(L37,ADJUSTTABLE,2)</f>
        <v>12690788</v>
      </c>
      <c r="N37" s="55">
        <f>VLOOKUP(L37,ADJUSTTABLE,4)</f>
        <v>0</v>
      </c>
      <c r="O37" s="55">
        <f>SUM(M37:N37)</f>
        <v>12690788</v>
      </c>
      <c r="P37" s="4">
        <f>P$17</f>
        <v>0</v>
      </c>
      <c r="Q37" s="55">
        <f>ROUND(O37*P37,0)</f>
        <v>0</v>
      </c>
      <c r="R37" s="157"/>
      <c r="S37" s="55"/>
      <c r="T37" s="55"/>
      <c r="U37" s="55"/>
      <c r="W37" s="55"/>
    </row>
    <row r="38" spans="1:21" ht="12.75" customHeight="1">
      <c r="A38" s="45" t="s">
        <v>267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268</v>
      </c>
      <c r="D39" s="42"/>
      <c r="E39" s="153" t="s">
        <v>236</v>
      </c>
      <c r="F39" s="157">
        <f>SUM(F37+31)</f>
        <v>39564</v>
      </c>
      <c r="G39" s="101">
        <f>VLOOKUP(F39,ADJUSTTABLE,2)</f>
        <v>7905968.9</v>
      </c>
      <c r="H39" s="101">
        <f>VLOOKUP(F39,ADJUSTTABLE,4)</f>
        <v>0</v>
      </c>
      <c r="I39" s="101">
        <f>SUM(G39:H39)</f>
        <v>7905968.9</v>
      </c>
      <c r="J39" s="158">
        <f>J$17</f>
        <v>1.338</v>
      </c>
      <c r="K39" s="101">
        <f>ROUND(I39*J39,0)</f>
        <v>10578186</v>
      </c>
      <c r="L39" s="157">
        <f>SUM(L37+30)</f>
        <v>39563</v>
      </c>
      <c r="M39" s="101">
        <f>VLOOKUP(L39,ADJUSTTABLE,2)</f>
        <v>12690788</v>
      </c>
      <c r="N39" s="101">
        <f>VLOOKUP(L39,ADJUSTTABLE,4)</f>
        <v>0</v>
      </c>
      <c r="O39" s="101">
        <f>SUM(M39:N39)</f>
        <v>12690788</v>
      </c>
      <c r="P39" s="4">
        <f>P$17</f>
        <v>0</v>
      </c>
      <c r="Q39" s="101">
        <f>ROUND(O39*P39,0)</f>
        <v>0</v>
      </c>
      <c r="R39" s="157"/>
      <c r="S39" s="101"/>
      <c r="T39" s="101"/>
      <c r="U39" s="101"/>
      <c r="W39" s="101"/>
    </row>
    <row r="40" spans="1:21" ht="12.75" customHeight="1">
      <c r="A40" s="45"/>
      <c r="D40" s="42"/>
      <c r="E40" s="153" t="s">
        <v>241</v>
      </c>
      <c r="F40" s="157"/>
      <c r="G40" s="101"/>
      <c r="H40" s="101"/>
      <c r="I40" s="101"/>
      <c r="J40" s="158"/>
      <c r="K40" s="101"/>
      <c r="L40" s="157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269</v>
      </c>
      <c r="D41" s="42"/>
      <c r="E41" s="153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270</v>
      </c>
      <c r="D42" s="42"/>
      <c r="E42" s="153" t="s">
        <v>217</v>
      </c>
      <c r="F42" s="4" t="s">
        <v>245</v>
      </c>
      <c r="G42" s="55">
        <f>SUM(G17:G39)</f>
        <v>73217578.5</v>
      </c>
      <c r="H42" s="55">
        <f>SUM(H17:H39)</f>
        <v>408543</v>
      </c>
      <c r="I42" s="55">
        <f>SUM(I17:I39)</f>
        <v>73626121.5</v>
      </c>
      <c r="K42" s="101">
        <f>SUM(K17:K39)</f>
        <v>98511750</v>
      </c>
      <c r="L42" s="4" t="s">
        <v>245</v>
      </c>
      <c r="M42" s="55">
        <f>SUM(M17:M39)</f>
        <v>78002397.6</v>
      </c>
      <c r="N42" s="55">
        <f>SUM(N17:N39)</f>
        <v>408543</v>
      </c>
      <c r="O42" s="55">
        <f>SUM(O17:O39)</f>
        <v>78410940.6</v>
      </c>
      <c r="Q42" s="101">
        <f>SUM(Q17:Q39)</f>
        <v>0</v>
      </c>
    </row>
    <row r="43" spans="1:23" ht="12.75" customHeight="1">
      <c r="A43" s="45"/>
      <c r="B43" s="4" t="s">
        <v>271</v>
      </c>
      <c r="D43" s="42"/>
      <c r="E43" s="153" t="s">
        <v>272</v>
      </c>
      <c r="W43" s="165"/>
    </row>
    <row r="44" spans="1:17" ht="12.75" customHeight="1" thickBot="1">
      <c r="A44" s="45"/>
      <c r="B44" s="4" t="s">
        <v>273</v>
      </c>
      <c r="D44" s="42"/>
      <c r="E44" s="47"/>
      <c r="F44" s="4" t="s">
        <v>223</v>
      </c>
      <c r="K44" s="166">
        <f>SUM(K10-K42)</f>
        <v>-1530189</v>
      </c>
      <c r="L44" s="4" t="s">
        <v>224</v>
      </c>
      <c r="Q44" s="166">
        <f>SUM(Q10-Q42)</f>
        <v>0</v>
      </c>
    </row>
    <row r="45" spans="1:5" ht="12.75" customHeight="1" thickTop="1">
      <c r="A45" s="45"/>
      <c r="B45" s="4" t="s">
        <v>274</v>
      </c>
      <c r="D45" s="42"/>
      <c r="E45" s="47"/>
    </row>
    <row r="46" spans="1:12" ht="12.75" customHeight="1">
      <c r="A46" s="45"/>
      <c r="D46" s="42"/>
      <c r="E46" s="47"/>
      <c r="F46" s="147" t="s">
        <v>260</v>
      </c>
      <c r="L46" s="147" t="s">
        <v>260</v>
      </c>
    </row>
    <row r="47" spans="1:12" ht="12.75" customHeight="1">
      <c r="A47" s="45"/>
      <c r="B47" s="4" t="s">
        <v>225</v>
      </c>
      <c r="D47" s="80" t="s">
        <v>17</v>
      </c>
      <c r="E47" s="139">
        <f>W25</f>
        <v>0</v>
      </c>
      <c r="F47" s="147" t="s">
        <v>262</v>
      </c>
      <c r="L47" s="147" t="s">
        <v>262</v>
      </c>
    </row>
    <row r="48" spans="1:5" ht="12.75" customHeight="1">
      <c r="A48" s="45"/>
      <c r="D48" s="42"/>
      <c r="E48" s="167"/>
    </row>
    <row r="49" spans="1:5" ht="12.75" customHeight="1">
      <c r="A49" s="40"/>
      <c r="B49" s="8" t="s">
        <v>275</v>
      </c>
      <c r="C49" s="8"/>
      <c r="D49" s="126" t="s">
        <v>17</v>
      </c>
      <c r="E49" s="139">
        <f>SUM(E47+E35+E21)</f>
        <v>-1530189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3">
      <selection activeCell="F12" sqref="F12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5">
        <f>'[1]Instruct &amp; Input'!C10</f>
        <v>39659</v>
      </c>
      <c r="B5" s="2"/>
      <c r="C5" s="2"/>
      <c r="D5" s="2"/>
      <c r="E5" s="2"/>
    </row>
    <row r="7" spans="1:5" ht="12.75" customHeight="1">
      <c r="A7" s="168" t="s">
        <v>278</v>
      </c>
      <c r="B7" s="124"/>
      <c r="C7" s="124"/>
      <c r="D7" s="124"/>
      <c r="E7" s="124"/>
    </row>
    <row r="8" spans="1:5" ht="12.75" customHeight="1">
      <c r="A8" s="169" t="s">
        <v>279</v>
      </c>
      <c r="B8" s="124"/>
      <c r="C8" s="124"/>
      <c r="D8" s="124"/>
      <c r="E8" s="169" t="s">
        <v>6</v>
      </c>
    </row>
    <row r="10" spans="1:3" ht="12.75" customHeight="1">
      <c r="A10" s="4">
        <v>1</v>
      </c>
      <c r="C10" s="170" t="s">
        <v>280</v>
      </c>
    </row>
    <row r="12" spans="1:5" ht="12.75" customHeight="1">
      <c r="A12" s="4">
        <f>A10+1</f>
        <v>2</v>
      </c>
      <c r="C12" s="4" t="s">
        <v>281</v>
      </c>
      <c r="E12" s="59">
        <f>'Summ File'!F18</f>
        <v>106383251</v>
      </c>
    </row>
    <row r="13" spans="1:5" ht="12.75" customHeight="1">
      <c r="A13" s="4">
        <f>A12+1</f>
        <v>3</v>
      </c>
      <c r="C13" s="4" t="s">
        <v>282</v>
      </c>
      <c r="E13" s="55">
        <f>'Summ File'!F19</f>
        <v>82591000</v>
      </c>
    </row>
    <row r="15" spans="1:5" ht="12.75" customHeight="1">
      <c r="A15" s="4">
        <f>A13+1</f>
        <v>4</v>
      </c>
      <c r="C15" s="4" t="s">
        <v>283</v>
      </c>
      <c r="E15" s="171">
        <f>ROUND(E12/E13,4)*100</f>
        <v>128.81</v>
      </c>
    </row>
    <row r="16" spans="1:5" ht="12.75" customHeight="1">
      <c r="A16" s="4">
        <f>A15+1</f>
        <v>5</v>
      </c>
      <c r="C16" s="4" t="s">
        <v>284</v>
      </c>
      <c r="D16" s="32" t="s">
        <v>83</v>
      </c>
      <c r="E16" s="172">
        <f>'[1]Instruct &amp; Input'!R33</f>
        <v>0.04987</v>
      </c>
    </row>
    <row r="17" spans="1:5" ht="12.75" customHeight="1">
      <c r="A17" s="4">
        <f>A16+1</f>
        <v>6</v>
      </c>
      <c r="C17" s="4" t="s">
        <v>285</v>
      </c>
      <c r="E17" s="173">
        <f>ROUND(E15*E16,2)</f>
        <v>6.42</v>
      </c>
    </row>
    <row r="18" ht="12.75" customHeight="1">
      <c r="E18" s="174"/>
    </row>
    <row r="19" spans="1:5" ht="12.75" customHeight="1" thickBot="1">
      <c r="A19" s="4">
        <f>A17+1</f>
        <v>7</v>
      </c>
      <c r="C19" s="4" t="s">
        <v>280</v>
      </c>
      <c r="E19" s="175">
        <f>SUM(E15+E17)</f>
        <v>135.23</v>
      </c>
    </row>
    <row r="20" ht="12.75" customHeight="1" thickTop="1">
      <c r="E20" s="176"/>
    </row>
    <row r="21" ht="12.75" customHeight="1">
      <c r="E21" s="176"/>
    </row>
    <row r="22" ht="12.75" customHeight="1">
      <c r="E22" s="176"/>
    </row>
    <row r="23" spans="1:5" ht="12.75" customHeight="1">
      <c r="A23" s="4">
        <f>A19+1</f>
        <v>8</v>
      </c>
      <c r="C23" s="177">
        <v>0.1</v>
      </c>
      <c r="D23" s="4" t="s">
        <v>280</v>
      </c>
      <c r="E23" s="178">
        <f>ROUND($E$19*C23,2)</f>
        <v>13.52</v>
      </c>
    </row>
    <row r="24" ht="12.75" customHeight="1">
      <c r="C24" s="15"/>
    </row>
    <row r="25" spans="1:5" ht="12.75" customHeight="1">
      <c r="A25" s="4">
        <f>A23+1</f>
        <v>9</v>
      </c>
      <c r="C25" s="177">
        <v>0.2</v>
      </c>
      <c r="D25" s="4" t="s">
        <v>280</v>
      </c>
      <c r="E25" s="178">
        <f>ROUND($E$19*C25,2)</f>
        <v>27.05</v>
      </c>
    </row>
    <row r="26" ht="12.75" customHeight="1">
      <c r="C26" s="15"/>
    </row>
    <row r="27" spans="1:5" ht="12.75" customHeight="1">
      <c r="A27" s="4">
        <v>10</v>
      </c>
      <c r="C27" s="177">
        <v>0.3</v>
      </c>
      <c r="D27" s="4" t="s">
        <v>280</v>
      </c>
      <c r="E27" s="178">
        <f>ROUND($E$19*C27,2)</f>
        <v>40.57</v>
      </c>
    </row>
    <row r="28" ht="12.75" customHeight="1">
      <c r="C28" s="15"/>
    </row>
    <row r="29" spans="1:5" ht="12.75" customHeight="1">
      <c r="A29" s="4">
        <v>11</v>
      </c>
      <c r="C29" s="177">
        <v>0.4</v>
      </c>
      <c r="D29" s="4" t="s">
        <v>280</v>
      </c>
      <c r="E29" s="178">
        <f>ROUND($E$19*C29,2)</f>
        <v>54.09</v>
      </c>
    </row>
    <row r="30" ht="12.75" customHeight="1">
      <c r="C30" s="15"/>
    </row>
    <row r="31" spans="1:5" ht="12.75" customHeight="1">
      <c r="A31" s="4">
        <v>12</v>
      </c>
      <c r="C31" s="177">
        <v>0.5</v>
      </c>
      <c r="D31" s="4" t="s">
        <v>280</v>
      </c>
      <c r="E31" s="178">
        <f>ROUND($E$19*C31,2)</f>
        <v>67.62</v>
      </c>
    </row>
    <row r="32" ht="12.75" customHeight="1">
      <c r="C32" s="15"/>
    </row>
    <row r="33" spans="1:5" ht="12.75" customHeight="1">
      <c r="A33" s="4">
        <v>13</v>
      </c>
      <c r="C33" s="177">
        <v>0.6</v>
      </c>
      <c r="D33" s="4" t="s">
        <v>280</v>
      </c>
      <c r="E33" s="178">
        <f>ROUND($E$19*C33,2)</f>
        <v>81.14</v>
      </c>
    </row>
    <row r="34" ht="12.75" customHeight="1">
      <c r="C34" s="15"/>
    </row>
    <row r="35" spans="1:5" ht="12.75" customHeight="1">
      <c r="A35" s="4">
        <v>14</v>
      </c>
      <c r="C35" s="177">
        <v>0.7</v>
      </c>
      <c r="D35" s="4" t="s">
        <v>280</v>
      </c>
      <c r="E35" s="178">
        <f>ROUND($E$19*C35,2)</f>
        <v>94.66</v>
      </c>
    </row>
    <row r="36" spans="3:4" ht="12.75" customHeight="1">
      <c r="C36" s="15"/>
      <c r="D36" s="4" t="s">
        <v>286</v>
      </c>
    </row>
    <row r="37" spans="1:5" ht="12.75" customHeight="1">
      <c r="A37" s="4">
        <v>15</v>
      </c>
      <c r="C37" s="177">
        <v>0.8</v>
      </c>
      <c r="D37" s="4" t="s">
        <v>280</v>
      </c>
      <c r="E37" s="178">
        <f>ROUND($E$19*C37,2)</f>
        <v>108.18</v>
      </c>
    </row>
    <row r="38" ht="12.75" customHeight="1">
      <c r="C38" s="15"/>
    </row>
    <row r="39" spans="1:5" ht="12.75" customHeight="1">
      <c r="A39" s="4">
        <v>16</v>
      </c>
      <c r="C39" s="177">
        <v>0.9</v>
      </c>
      <c r="D39" s="4" t="s">
        <v>280</v>
      </c>
      <c r="E39" s="178">
        <f>ROUND($E$19*C39,2)</f>
        <v>121.71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dcterms:created xsi:type="dcterms:W3CDTF">2008-07-16T14:42:36Z</dcterms:created>
  <dcterms:modified xsi:type="dcterms:W3CDTF">2008-07-16T14:43:46Z</dcterms:modified>
  <cp:category/>
  <cp:version/>
  <cp:contentType/>
  <cp:contentStatus/>
</cp:coreProperties>
</file>