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Input'!$A$6:$AB$133</definedName>
    <definedName name="ADJUSTTABLE">'[1]Instruct &amp; Input'!$J$6:$M$122</definedName>
    <definedName name="ESTIMATEINJ">'[1]Actuals Input'!#REF!</definedName>
    <definedName name="ESTIMATES">'[1]Actuals Input'!#REF!</definedName>
    <definedName name="PIPTABLE">'[1]Instruct &amp; Input'!$G$6:$H$122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Input'!$A$6:$R$108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(229,557.67) for Nov, (27,613.98) for Dec and 46,088.12 for Jan.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<sst xmlns="http://schemas.openxmlformats.org/spreadsheetml/2006/main" count="1003" uniqueCount="288">
  <si>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</si>
  <si>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</si>
  <si>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</si>
  <si>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</si>
  <si>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</si>
  <si>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</si>
  <si>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</si>
  <si>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</si>
  <si>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</si>
  <si>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</si>
  <si>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</si>
  <si>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</si>
  <si>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</si>
  <si>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</si>
  <si>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</si>
  <si>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</si>
  <si>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</si>
  <si>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</si>
  <si>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</si>
  <si>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</si>
  <si>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</si>
  <si>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</si>
  <si>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</si>
  <si>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</si>
  <si>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</si>
  <si>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</si>
  <si>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</si>
  <si>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</si>
  <si>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</si>
  <si>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</si>
  <si>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</si>
  <si>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</si>
  <si>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</si>
  <si>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</si>
  <si>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</si>
  <si>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</si>
  <si>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</si>
  <si>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</si>
  <si>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</si>
  <si>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</si>
  <si>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</si>
  <si>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</si>
  <si>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</si>
  <si>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</si>
  <si>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</si>
  <si>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</si>
  <si>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</si>
  <si>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</si>
  <si>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</si>
  <si>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</si>
  <si>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</si>
  <si>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</si>
  <si>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</si>
  <si>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</si>
  <si>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</si>
  <si>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</si>
  <si>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</si>
  <si>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</si>
  <si>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</si>
  <si>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</si>
  <si>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</si>
  <si>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</si>
  <si>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</si>
  <si>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</si>
  <si>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</si>
  <si>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</si>
  <si>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</si>
  <si>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</si>
  <si>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</si>
  <si>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</si>
  <si>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</si>
  <si>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</si>
  <si>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</si>
  <si>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</si>
  <si>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</si>
  <si>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</si>
  <si>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</si>
  <si>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</si>
  <si>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</si>
  <si>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</si>
  <si>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</si>
  <si>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</si>
  <si>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</si>
  <si>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</si>
  <si>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</si>
  <si>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</si>
  <si>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</si>
  <si>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</si>
  <si>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</si>
  <si>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</si>
  <si>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</si>
  <si>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</si>
  <si>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</si>
  <si>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</si>
  <si>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</si>
  <si>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</si>
  <si>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</si>
  <si>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</si>
  <si>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</si>
  <si>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</si>
  <si>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</si>
  <si>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</si>
  <si>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</si>
  <si>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</si>
  <si>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</si>
  <si>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</si>
  <si>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</si>
  <si>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</si>
  <si>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</si>
  <si>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</si>
  <si>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</si>
  <si>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</si>
  <si>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</si>
  <si>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</si>
  <si>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</si>
  <si>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</si>
  <si>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</si>
  <si>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</si>
  <si>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</si>
  <si>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</si>
  <si>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</si>
  <si>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</si>
  <si>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</si>
  <si>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</si>
  <si>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</si>
  <si>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</si>
  <si>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</si>
  <si>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</si>
  <si>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</si>
  <si>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</si>
  <si>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</si>
  <si>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</si>
  <si>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</si>
  <si>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</si>
  <si>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</si>
  <si>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</si>
  <si>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</si>
  <si>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</si>
  <si>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</si>
  <si>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</si>
  <si>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</si>
  <si>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</si>
  <si>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</si>
  <si>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</si>
  <si>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</si>
  <si>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</si>
  <si>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</si>
  <si>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</si>
  <si>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</si>
  <si>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</si>
  <si>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</si>
  <si>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</si>
  <si>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</si>
  <si>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</si>
  <si>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</si>
  <si>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</si>
  <si>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</si>
  <si>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</si>
  <si>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</si>
  <si>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</si>
  <si>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</si>
  <si>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</si>
  <si>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</si>
  <si>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</si>
  <si>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</si>
  <si>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</si>
  <si>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</si>
  <si>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</si>
  <si>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</si>
  <si>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</si>
  <si>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</si>
  <si>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</si>
  <si>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</si>
  <si>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</si>
  <si>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</si>
  <si>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</si>
  <si>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</si>
  <si>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</si>
  <si>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</si>
  <si>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</si>
  <si>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</si>
  <si>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</si>
  <si>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</si>
  <si>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</si>
  <si>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</si>
  <si>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</si>
  <si>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</si>
  <si>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</si>
  <si>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</si>
  <si>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</si>
  <si>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</si>
  <si>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</si>
  <si>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</si>
  <si>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</si>
  <si>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</si>
  <si>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</si>
  <si>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</si>
  <si>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</si>
  <si>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</si>
  <si>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</si>
  <si>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</si>
  <si>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</si>
  <si>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</si>
  <si>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</si>
  <si>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</si>
  <si>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</si>
  <si>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</si>
  <si>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</si>
  <si>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</si>
  <si>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note… PIPP discount changed from (.0571) to (.0777)  4/07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</si>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</sst>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8\May%2008\7-08%20Monthly%20GCR%20Estimated%20Basis%205%20Day%20NYMEX%206-1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-518.0999999999999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-374.77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June 30, 2008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-1115.0900000000001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39629</v>
          </cell>
          <cell r="E10">
            <v>39658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PANHANDLE EASTERN PIPELINE COMPANY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</row>
        <row r="20">
          <cell r="C20">
            <v>39141</v>
          </cell>
          <cell r="E20">
            <v>39471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Y20">
            <v>-24942.420000000002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39471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Y21">
            <v>-278862.23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39411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39615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11.92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R33">
            <v>0.04987</v>
          </cell>
          <cell r="Y33">
            <v>12.79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13.21</v>
          </cell>
          <cell r="Z34" t="str">
            <v>Y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39212</v>
          </cell>
          <cell r="AC44">
            <v>0</v>
          </cell>
          <cell r="AD44">
            <v>1.338</v>
          </cell>
          <cell r="AE44">
            <v>0</v>
          </cell>
          <cell r="AF44">
            <v>0</v>
          </cell>
          <cell r="AG44">
            <v>96981561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39304</v>
          </cell>
          <cell r="AC45">
            <v>-0.0061</v>
          </cell>
          <cell r="AD45">
            <v>-0.2151</v>
          </cell>
          <cell r="AE45">
            <v>0</v>
          </cell>
          <cell r="AF45">
            <v>-444166</v>
          </cell>
          <cell r="AG45">
            <v>-15564996</v>
          </cell>
          <cell r="AH45">
            <v>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39396</v>
          </cell>
          <cell r="AC46">
            <v>0</v>
          </cell>
          <cell r="AD46">
            <v>-0.9029</v>
          </cell>
          <cell r="AE46">
            <v>0</v>
          </cell>
          <cell r="AF46">
            <v>-1115</v>
          </cell>
          <cell r="AG46">
            <v>-68154398</v>
          </cell>
          <cell r="AH46">
            <v>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39488</v>
          </cell>
          <cell r="AC47">
            <v>0</v>
          </cell>
          <cell r="AD47">
            <v>-0.2216</v>
          </cell>
          <cell r="AE47">
            <v>0</v>
          </cell>
          <cell r="AF47">
            <v>-2134</v>
          </cell>
          <cell r="AG47">
            <v>-16750281</v>
          </cell>
          <cell r="AH47">
            <v>0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39629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1592881.4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</sheetData>
      <sheetData sheetId="2">
        <row r="9">
          <cell r="D9">
            <v>-0.0601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-0.0061</v>
          </cell>
        </row>
        <row r="38">
          <cell r="F38">
            <v>-0.2216</v>
          </cell>
        </row>
        <row r="39">
          <cell r="F39">
            <v>-0.9029</v>
          </cell>
        </row>
        <row r="40">
          <cell r="F40">
            <v>-0.2151</v>
          </cell>
        </row>
      </sheetData>
      <sheetData sheetId="6">
        <row r="39">
          <cell r="I39">
            <v>526649440</v>
          </cell>
        </row>
        <row r="44">
          <cell r="I44">
            <v>1363842</v>
          </cell>
        </row>
      </sheetData>
      <sheetData sheetId="13">
        <row r="43">
          <cell r="C43">
            <v>0</v>
          </cell>
        </row>
        <row r="45">
          <cell r="C45">
            <v>5167000</v>
          </cell>
        </row>
        <row r="46">
          <cell r="C46">
            <v>41675000</v>
          </cell>
        </row>
      </sheetData>
      <sheetData sheetId="14">
        <row r="24">
          <cell r="B24">
            <v>5068719.5</v>
          </cell>
          <cell r="D24">
            <v>640574.5</v>
          </cell>
        </row>
        <row r="25">
          <cell r="B25">
            <v>10230484.5</v>
          </cell>
          <cell r="D25">
            <v>1338898.5</v>
          </cell>
        </row>
        <row r="26">
          <cell r="B26">
            <v>12783246.7</v>
          </cell>
          <cell r="D26">
            <v>1694668.3</v>
          </cell>
        </row>
        <row r="51">
          <cell r="B51">
            <v>78696000</v>
          </cell>
          <cell r="D51">
            <v>8982000</v>
          </cell>
        </row>
        <row r="54">
          <cell r="C54">
            <v>0.576</v>
          </cell>
        </row>
      </sheetData>
      <sheetData sheetId="16">
        <row r="20">
          <cell r="B20">
            <v>44182000</v>
          </cell>
          <cell r="D20">
            <v>0</v>
          </cell>
          <cell r="F20">
            <v>1092000</v>
          </cell>
        </row>
        <row r="21">
          <cell r="I21">
            <v>44958000</v>
          </cell>
          <cell r="J21">
            <v>44182000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721000</v>
          </cell>
          <cell r="J38">
            <v>1092000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5.466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5.799000000000001</v>
          </cell>
        </row>
        <row r="104">
          <cell r="A104" t="str">
            <v>Reservation Charge</v>
          </cell>
          <cell r="B104">
            <v>5.636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5.969000000000001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5.799000000000001</v>
          </cell>
          <cell r="V2864">
            <v>8670612</v>
          </cell>
          <cell r="W2864">
            <v>50280879</v>
          </cell>
          <cell r="Z2864">
            <v>39539</v>
          </cell>
          <cell r="AA2864" t="str">
            <v>25, 26 &amp; 29</v>
          </cell>
          <cell r="AB2864" t="str">
            <v>N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5.799000000000001</v>
          </cell>
          <cell r="V2865">
            <v>4335306</v>
          </cell>
          <cell r="W2865">
            <v>25140439</v>
          </cell>
          <cell r="AB2865" t="str">
            <v>N</v>
          </cell>
        </row>
        <row r="2866">
          <cell r="S2866" t="str">
            <v>FTS</v>
          </cell>
          <cell r="T2866" t="str">
            <v>Reservation Charge</v>
          </cell>
          <cell r="U2866">
            <v>5.969000000000001</v>
          </cell>
          <cell r="V2866">
            <v>4561800</v>
          </cell>
          <cell r="W2866">
            <v>27229384</v>
          </cell>
          <cell r="AB2866" t="str">
            <v>N</v>
          </cell>
        </row>
        <row r="2867">
          <cell r="S2867" t="str">
            <v>FSS RES</v>
          </cell>
          <cell r="T2867" t="str">
            <v>Reservation Charge</v>
          </cell>
          <cell r="U2867">
            <v>1.507</v>
          </cell>
          <cell r="V2867">
            <v>17341224</v>
          </cell>
          <cell r="W2867">
            <v>26133225</v>
          </cell>
          <cell r="AB2867" t="str">
            <v>N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965302956</v>
          </cell>
          <cell r="W2868">
            <v>27993786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39356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39387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39539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111800</v>
          </cell>
          <cell r="W2901">
            <v>680079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244456</v>
          </cell>
          <cell r="W2902">
            <v>2200837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162338.05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1867497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13183123.05</v>
          </cell>
          <cell r="Y2939" t="str">
            <v>N/A</v>
          </cell>
          <cell r="Z2939" t="str">
            <v>Per Contract</v>
          </cell>
        </row>
      </sheetData>
      <sheetData sheetId="29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D132" t="str">
            <v>ACTUAL INJECTION VOLUMES</v>
          </cell>
          <cell r="J132" t="str">
            <v>ACTUAL INJECTION VOLUMES</v>
          </cell>
          <cell r="P132" t="str">
            <v>ACTUAL INJECTION VOLUMES</v>
          </cell>
          <cell r="V132" t="str">
            <v>ACTUAL INJECTION VOLUMES</v>
          </cell>
        </row>
        <row r="133">
          <cell r="D133" t="str">
            <v>TCO</v>
          </cell>
          <cell r="F133" t="str">
            <v>CGT</v>
          </cell>
          <cell r="H133" t="str">
            <v>PEPL</v>
          </cell>
          <cell r="J133" t="str">
            <v>ANR</v>
          </cell>
          <cell r="L133" t="str">
            <v>CNG</v>
          </cell>
          <cell r="N133" t="str">
            <v>TENN</v>
          </cell>
          <cell r="P133" t="str">
            <v>TETCO</v>
          </cell>
          <cell r="R133" t="str">
            <v>CARNEGIE</v>
          </cell>
          <cell r="T133" t="str">
            <v>FIRM</v>
          </cell>
          <cell r="V133" t="str">
            <v>COVE (CVP)</v>
          </cell>
          <cell r="X133" t="str">
            <v>LOCAL</v>
          </cell>
          <cell r="AA133" t="str">
            <v>NON-LOCAL</v>
          </cell>
        </row>
      </sheetData>
      <sheetData sheetId="30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</sheetData>
      <sheetData sheetId="31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I21" sqref="I21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14.4472</v>
      </c>
      <c r="E8" s="15" t="s">
        <v>8</v>
      </c>
      <c r="F8" s="16">
        <f>F25</f>
        <v>14.4472</v>
      </c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N9" s="17"/>
    </row>
    <row r="10" spans="2:6" ht="12.75" customHeight="1">
      <c r="B10" s="4" t="s">
        <v>10</v>
      </c>
      <c r="D10" s="14"/>
      <c r="E10" s="15" t="s">
        <v>8</v>
      </c>
      <c r="F10" s="16">
        <f>F33</f>
        <v>-0.0102</v>
      </c>
    </row>
    <row r="11" spans="2:6" ht="12.75" customHeight="1" thickBot="1">
      <c r="B11" s="4" t="s">
        <v>11</v>
      </c>
      <c r="D11" s="14"/>
      <c r="E11" s="15" t="s">
        <v>8</v>
      </c>
      <c r="F11" s="16">
        <f>F41</f>
        <v>-0.16440000000000005</v>
      </c>
    </row>
    <row r="12" spans="1:6" ht="12.75" customHeight="1" thickBot="1">
      <c r="A12" s="4" t="s">
        <v>12</v>
      </c>
      <c r="D12" s="18">
        <f>SUM(D8:D11)</f>
        <v>14.3871</v>
      </c>
      <c r="E12" s="15" t="s">
        <v>8</v>
      </c>
      <c r="F12" s="18">
        <f>SUM(F8:F11)</f>
        <v>14.2726</v>
      </c>
    </row>
    <row r="14" spans="2:6" ht="12.75" customHeight="1">
      <c r="B14" s="15" t="s">
        <v>13</v>
      </c>
      <c r="C14" s="15"/>
      <c r="D14" s="20">
        <f>'[1]Instruct &amp; Input'!C52</f>
        <v>39629</v>
      </c>
      <c r="E14" s="15" t="s">
        <v>14</v>
      </c>
      <c r="F14" s="21">
        <f>'[1]Instruct &amp; Input'!E10</f>
        <v>39658</v>
      </c>
    </row>
    <row r="16" spans="1:6" ht="12.75" customHeight="1">
      <c r="A16" s="9" t="s">
        <v>15</v>
      </c>
      <c r="B16" s="9"/>
      <c r="C16" s="9"/>
      <c r="D16" s="9"/>
      <c r="E16" s="9"/>
      <c r="F16" s="22"/>
    </row>
    <row r="17" spans="1:9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I17" s="19"/>
    </row>
    <row r="18" spans="2:6" ht="12.75" customHeight="1">
      <c r="B18" s="4" t="s">
        <v>16</v>
      </c>
      <c r="E18" s="15" t="s">
        <v>17</v>
      </c>
      <c r="F18" s="23">
        <f>'Sched 1 File'!D42</f>
        <v>108991540</v>
      </c>
    </row>
    <row r="19" spans="2:9" ht="12.75" customHeight="1">
      <c r="B19" s="4" t="s">
        <v>18</v>
      </c>
      <c r="E19" s="15" t="s">
        <v>19</v>
      </c>
      <c r="F19" s="24">
        <f>('[1]Sales &amp; CHOICE Volumes'!B51)+('[1]Sales &amp; CHOICE Volumes'!D51)</f>
        <v>87678000</v>
      </c>
      <c r="I19" s="19"/>
    </row>
    <row r="20" spans="2:9" ht="12.75" customHeight="1">
      <c r="B20" s="4" t="s">
        <v>20</v>
      </c>
      <c r="E20" s="15" t="s">
        <v>8</v>
      </c>
      <c r="F20" s="25">
        <f>ROUND(F18/F19,4)</f>
        <v>1.2431</v>
      </c>
      <c r="I20" s="19"/>
    </row>
    <row r="21" spans="2:6" ht="12.75" customHeight="1">
      <c r="B21" s="4" t="s">
        <v>21</v>
      </c>
      <c r="E21" s="15" t="s">
        <v>17</v>
      </c>
      <c r="F21" s="23">
        <f>SUM('Sched 1 File'!E42:F42)</f>
        <v>1157712403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87678000</v>
      </c>
    </row>
    <row r="23" spans="2:6" ht="12.75" customHeight="1">
      <c r="B23" s="4" t="s">
        <v>23</v>
      </c>
      <c r="E23" s="15" t="s">
        <v>8</v>
      </c>
      <c r="F23" s="25">
        <f>ROUND(F21/F22,4)</f>
        <v>13.2041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14.4472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-0.0041</v>
      </c>
    </row>
    <row r="30" spans="2:6" ht="12.75" customHeight="1">
      <c r="B30" s="4" t="s">
        <v>27</v>
      </c>
      <c r="E30" s="15" t="s">
        <v>8</v>
      </c>
      <c r="F30" s="28">
        <f>'[1]Summ Work'!F30</f>
        <v>0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-0.0061</v>
      </c>
    </row>
    <row r="33" spans="1:6" ht="12.75" customHeight="1">
      <c r="A33" s="4" t="s">
        <v>10</v>
      </c>
      <c r="E33" s="15" t="s">
        <v>8</v>
      </c>
      <c r="F33" s="27">
        <f>SUM(F29:F32)</f>
        <v>-0.0102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1.1752</v>
      </c>
    </row>
    <row r="38" spans="2:6" ht="12.75" customHeight="1">
      <c r="B38" s="4" t="s">
        <v>32</v>
      </c>
      <c r="E38" s="15" t="s">
        <v>8</v>
      </c>
      <c r="F38" s="28">
        <f>'[1]Summ Work'!F38</f>
        <v>-0.2216</v>
      </c>
    </row>
    <row r="39" spans="2:6" ht="12.75" customHeight="1">
      <c r="B39" s="4" t="s">
        <v>33</v>
      </c>
      <c r="E39" s="15" t="s">
        <v>8</v>
      </c>
      <c r="F39" s="28">
        <f>'[1]Summ Work'!F39</f>
        <v>-0.9029</v>
      </c>
    </row>
    <row r="40" spans="2:6" ht="12.75" customHeight="1">
      <c r="B40" s="4" t="s">
        <v>34</v>
      </c>
      <c r="E40" s="15" t="s">
        <v>8</v>
      </c>
      <c r="F40" s="28">
        <f>'[1]Summ Work'!F40</f>
        <v>-0.2151</v>
      </c>
    </row>
    <row r="41" spans="1:6" ht="12.75" customHeight="1">
      <c r="A41" s="4" t="s">
        <v>11</v>
      </c>
      <c r="E41" s="15" t="s">
        <v>8</v>
      </c>
      <c r="F41" s="27">
        <f>SUM(F37:F40)</f>
        <v>-0.16440000000000005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39615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0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June 30, 2008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156777713</v>
      </c>
      <c r="E17" s="47">
        <f>'[1]Sched 1A Work'!I39</f>
        <v>526649440</v>
      </c>
      <c r="F17" s="47">
        <f>'[1]Sched 1A Work'!I44</f>
        <v>1363842</v>
      </c>
      <c r="G17" s="47">
        <f aca="true" t="shared" si="0" ref="G17:G27">SUM(D17:F17)</f>
        <v>684790995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13016640</v>
      </c>
      <c r="F19" s="47">
        <f>'Sched 1A File'!I189</f>
        <v>69801</v>
      </c>
      <c r="G19" s="47">
        <f t="shared" si="0"/>
        <v>15503841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1867497</v>
      </c>
      <c r="E25" s="47">
        <f>'Sched 1A File'!I534</f>
        <v>0</v>
      </c>
      <c r="F25" s="47">
        <f>'Sched 1A File'!I539</f>
        <v>0</v>
      </c>
      <c r="G25" s="47">
        <f t="shared" si="0"/>
        <v>1867497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13183123.05</v>
      </c>
      <c r="E27" s="47">
        <f>'Sched 1A File'!I640</f>
        <v>0</v>
      </c>
      <c r="F27" s="47">
        <f>'Sched 1A File'!K645</f>
        <v>0</v>
      </c>
      <c r="G27" s="48">
        <f t="shared" si="0"/>
        <v>13183123.05</v>
      </c>
    </row>
    <row r="28" spans="1:7" ht="12.75" customHeight="1" thickBot="1">
      <c r="A28" s="49"/>
      <c r="B28" s="50" t="s">
        <v>54</v>
      </c>
      <c r="C28" s="51"/>
      <c r="D28" s="52">
        <f>SUM(D17:D27)</f>
        <v>189221423.05</v>
      </c>
      <c r="E28" s="52">
        <f>SUM(E17:E27)</f>
        <v>539666080</v>
      </c>
      <c r="F28" s="52">
        <f>SUM(F17:F27)</f>
        <v>1433643</v>
      </c>
      <c r="G28" s="52">
        <f>SUM(G17:G27)</f>
        <v>730321146.05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0.576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108991540</v>
      </c>
      <c r="E30" s="47">
        <f>E28</f>
        <v>539666080</v>
      </c>
      <c r="F30" s="47">
        <f>F28</f>
        <v>1433643</v>
      </c>
      <c r="G30" s="47">
        <f>SUM(D30:F30)</f>
        <v>650091263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66085930</v>
      </c>
      <c r="F36" s="52">
        <v>0</v>
      </c>
      <c r="G36" s="52">
        <f>SUM(D36:F36)</f>
        <v>66085930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550526750</v>
      </c>
      <c r="F40" s="54">
        <v>0</v>
      </c>
      <c r="G40" s="54">
        <f>SUM(D40:F40)</f>
        <v>550526750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108991540</v>
      </c>
      <c r="E42" s="52">
        <f>SUM(E30:E40)</f>
        <v>1156278760</v>
      </c>
      <c r="F42" s="52">
        <f>SUM(F30:F40)</f>
        <v>1433643</v>
      </c>
      <c r="G42" s="52">
        <f>SUM(G30:G40)</f>
        <v>1266703943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1266703943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7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June 30, 2008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39539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5.799000000000001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50280879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5.799000000000001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25140439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5.969000000000001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27229384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1.507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26133225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27993786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156777713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11.92</v>
      </c>
      <c r="G38" s="66">
        <f>'[1]Estimates'!B20</f>
        <v>44182000</v>
      </c>
      <c r="I38" s="92">
        <f>ROUND(G38*E38,0)</f>
        <v>526649440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526649440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44958000</v>
      </c>
      <c r="I42" s="57">
        <f>ROUND(G42*E42,0)</f>
        <v>687857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44182000</v>
      </c>
      <c r="I43" s="92">
        <f>ROUND(G43*E43,0)</f>
        <v>675985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1363842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684790995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June 30, 2008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5.466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5.799000000000001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5.636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5.969000000000001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June 30, 2008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39356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June 30, 2008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39387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11.92</v>
      </c>
      <c r="G181" s="66">
        <f>'[1]Estimates'!D20+'[1]Estimates'!F20</f>
        <v>1092000</v>
      </c>
      <c r="I181" s="92">
        <f>ROUND(G181*E181,0)</f>
        <v>13016640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13016640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721000</v>
      </c>
      <c r="I185" s="57">
        <f>ROUND(G185*E185,0)</f>
        <v>27759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1092000</v>
      </c>
      <c r="I186" s="57">
        <f>ROUND(G186*E186,0)</f>
        <v>42042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69801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15503841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June 30, 2008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June 30, 2008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39539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June 30, 2008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June 30, 2008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June 30, 2008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June 30, 2008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June 30, 2008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1867497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1867497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1867497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June 30, 2008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11.92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June 30, 2008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13183123.05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13183123.05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13183123.05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6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June 30, 2008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12.79</v>
      </c>
      <c r="D25" s="122">
        <f>'[1]Volume Mix'!C45</f>
        <v>5167000</v>
      </c>
      <c r="E25" s="47">
        <f>ROUND(C25*D25,0)</f>
        <v>66085930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66085930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13.21</v>
      </c>
      <c r="D41" s="122">
        <f>'[1]Volume Mix'!C46+'[1]Volume Mix'!C43</f>
        <v>41675000</v>
      </c>
      <c r="E41" s="47">
        <f>ROUND(C41*D41,0)</f>
        <v>550526750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550526750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7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2009</v>
      </c>
      <c r="D13" s="80" t="s">
        <v>19</v>
      </c>
      <c r="E13" s="47">
        <f>('[1]Sales &amp; CHOICE Volumes'!B51)</f>
        <v>78696000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2009</v>
      </c>
      <c r="D15" s="80" t="s">
        <v>19</v>
      </c>
      <c r="E15" s="60">
        <f>E13</f>
        <v>78696000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-305812.61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-305813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-305813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-322633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2009</v>
      </c>
      <c r="D31" s="80" t="s">
        <v>19</v>
      </c>
      <c r="E31" s="130">
        <f>E13</f>
        <v>78696000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-0.0041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39471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-518.0999999999999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-374.77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-1115.0900000000001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 t="str">
        <f>IF('[1]Instruct &amp; Input'!Y8=0," ",'[1]Instruct &amp; Input'!Y8)</f>
        <v> 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 t="str">
        <f>IF('[1]Instruct &amp; Input'!Y9=0," ",'[1]Instruct &amp; Input'!Y9)</f>
        <v> </v>
      </c>
    </row>
    <row r="49" spans="1:5" ht="12.75" customHeight="1">
      <c r="A49" s="45"/>
      <c r="B49" s="47" t="str">
        <f>IF('[1]Instruct &amp; Input'!V10=0," ",'[1]Instruct &amp; Input'!V10)</f>
        <v>PANHANDLE EASTERN PIPELINE COMPANY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PANHANDLE EASTERN PIPELINE COMPANY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>
        <f>IF('[1]Instruct &amp; Input'!Y20=0," ",'[1]Instruct &amp; Input'!Y20)</f>
        <v>-24942.420000000002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>
        <f>IF('[1]Instruct &amp; Input'!Y21=0," ",'[1]Instruct &amp; Input'!Y21)</f>
        <v>-278862.23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-305812.61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39471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E8-57</f>
        <v>39414</v>
      </c>
      <c r="E11" s="136">
        <f>E8-26</f>
        <v>39445</v>
      </c>
      <c r="F11" s="136">
        <f>E8+5</f>
        <v>39476</v>
      </c>
      <c r="H11" s="137">
        <f>F11-90</f>
        <v>39386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10175645</v>
      </c>
      <c r="E13" s="122">
        <f>VLOOKUP(E11,ACTUALS,3)</f>
        <v>16166305</v>
      </c>
      <c r="F13" s="122">
        <f>VLOOKUP(F11,ACTUALS,3)</f>
        <v>19065273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10175645</v>
      </c>
      <c r="E16" s="139">
        <f>SUM(E13:E15)</f>
        <v>16166305</v>
      </c>
      <c r="F16" s="139">
        <f>SUM(F13:F15)</f>
        <v>19065273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95041524.02</v>
      </c>
      <c r="E19" s="122">
        <f>VLOOKUP(E11,ACTUALS,2)</f>
        <v>132771016.08</v>
      </c>
      <c r="F19" s="122">
        <f>VLOOKUP(F11,ACTUALS,2)</f>
        <v>174778978.89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-82819.15</v>
      </c>
      <c r="E20" s="122">
        <f>VLOOKUP(E11,TABLE242,16)</f>
        <v>-139031.74</v>
      </c>
      <c r="F20" s="122">
        <f>VLOOKUP(F11,TABLE242,16)</f>
        <v>-207772.45</v>
      </c>
      <c r="G20" s="140" t="s">
        <v>189</v>
      </c>
      <c r="H20" s="55">
        <f>(VLOOKUP(H11,TABLE242,8)-VLOOKUP(F11,TABLE242,8))+SUM(D20:F20)</f>
        <v>-429623.33999999997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-24136.38</v>
      </c>
      <c r="E21" s="122">
        <f>VLOOKUP(E11,TABLE242,10)</f>
        <v>-52511.7</v>
      </c>
      <c r="F21" s="122">
        <f>VLOOKUP(F11,TABLE242,10)</f>
        <v>-105344.73</v>
      </c>
      <c r="G21" s="140" t="s">
        <v>189</v>
      </c>
      <c r="H21" s="55">
        <f>(VLOOKUP(H11,TABLE242,2)-VLOOKUP(F11,TABLE242,2))+SUM(D21:F21)</f>
        <v>-181992.81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-8721.23</v>
      </c>
      <c r="E23" s="122">
        <f>VLOOKUP(E11,TABLE242,12)</f>
        <v>4223.59</v>
      </c>
      <c r="F23" s="122">
        <f>VLOOKUP(F11,TABLE242,12)</f>
        <v>-1739.8</v>
      </c>
      <c r="G23" s="140" t="s">
        <v>189</v>
      </c>
      <c r="H23" s="55">
        <f>(VLOOKUP(H11,TABLE242,4)-VLOOKUP(F11,TABLE242,4))+SUM(D23:F23)</f>
        <v>-6237.44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-13032.21</v>
      </c>
      <c r="E24" s="122">
        <f>VLOOKUP(E11,TABLE242,13)</f>
        <v>-12980.73</v>
      </c>
      <c r="F24" s="122">
        <f>VLOOKUP(F11,TABLE242,13)</f>
        <v>-12980.73</v>
      </c>
      <c r="G24" s="140" t="s">
        <v>189</v>
      </c>
      <c r="H24" s="55">
        <f>(VLOOKUP(H11,TABLE242,5)-VLOOKUP(F11,TABLE242,5))+SUM(D24:F24)</f>
        <v>-38993.67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94912815.05</v>
      </c>
      <c r="E27" s="139">
        <f>SUM(E19:E26)</f>
        <v>132570715.5</v>
      </c>
      <c r="F27" s="139">
        <f>SUM(F19:F26)</f>
        <v>174451141.18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5709294</v>
      </c>
      <c r="E28" s="47">
        <f>'[1]Sales &amp; CHOICE Volumes'!B25+'[1]Sales &amp; CHOICE Volumes'!D25</f>
        <v>11569383</v>
      </c>
      <c r="F28" s="47">
        <f>'[1]Sales &amp; CHOICE Volumes'!B26+'[1]Sales &amp; CHOICE Volumes'!D26</f>
        <v>14477915</v>
      </c>
    </row>
    <row r="29" spans="1:6" ht="12.75" customHeight="1">
      <c r="A29" s="45" t="s">
        <v>199</v>
      </c>
      <c r="C29" s="80" t="s">
        <v>8</v>
      </c>
      <c r="D29" s="141">
        <f>ROUND(D27/D28,4)</f>
        <v>16.6243</v>
      </c>
      <c r="E29" s="141">
        <f>ROUND(E27/E28,4)</f>
        <v>11.4588</v>
      </c>
      <c r="F29" s="141">
        <f>ROUND(F27/F28,4)</f>
        <v>12.0495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9.5796</v>
      </c>
      <c r="E32" s="142">
        <v>9.7702</v>
      </c>
      <c r="F32" s="142">
        <v>9.6979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5068719.5</v>
      </c>
      <c r="E33" s="143">
        <f>VLOOKUP(E11,ADJUSTTABLE,2)</f>
        <v>10230484.5</v>
      </c>
      <c r="F33" s="143">
        <f>VLOOKUP(F11,ADJUSTTABLE,2)</f>
        <v>12783246.7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48556305</v>
      </c>
      <c r="E34" s="47">
        <f>ROUND(E32*E33,0)</f>
        <v>99953880</v>
      </c>
      <c r="F34" s="47">
        <f>ROUND(F32*F33,0)</f>
        <v>123970648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Work'!D9-0.0176</f>
        <v>9.5019</v>
      </c>
      <c r="E36" s="142">
        <f>E32+'[1]Summ Work'!D9-0.0176</f>
        <v>9.6925</v>
      </c>
      <c r="F36" s="142">
        <f>F32+'[1]Summ Work'!D9-0.0176</f>
        <v>9.6202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640574.5</v>
      </c>
      <c r="E37" s="143">
        <f>VLOOKUP(E11,PIPTABLE,2)</f>
        <v>1338898.5</v>
      </c>
      <c r="F37" s="143">
        <f>VLOOKUP(F11,PIPTABLE,2)</f>
        <v>1694668.3</v>
      </c>
      <c r="G37" s="4" t="s">
        <v>207</v>
      </c>
    </row>
    <row r="38" spans="1:7" ht="12.75" customHeight="1">
      <c r="A38" s="45"/>
      <c r="B38" s="4" t="s">
        <v>208</v>
      </c>
      <c r="C38" s="80" t="s">
        <v>17</v>
      </c>
      <c r="D38" s="60">
        <f>ROUND(D37*D36,0)</f>
        <v>6086675</v>
      </c>
      <c r="E38" s="60">
        <f>ROUND(E37*E36,0)</f>
        <v>12977274</v>
      </c>
      <c r="F38" s="60">
        <f>ROUND(F37*F36,0)</f>
        <v>16303048</v>
      </c>
      <c r="G38" s="4" t="s">
        <v>209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210</v>
      </c>
      <c r="C40" s="80" t="s">
        <v>17</v>
      </c>
      <c r="D40" s="144">
        <f>SUM(D38+D34)</f>
        <v>54642980</v>
      </c>
      <c r="E40" s="144">
        <f>SUM(E38+E34)</f>
        <v>112931154</v>
      </c>
      <c r="F40" s="144">
        <f>SUM(F38+F34)</f>
        <v>140273696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211</v>
      </c>
      <c r="C42" s="80" t="s">
        <v>17</v>
      </c>
      <c r="D42" s="144">
        <f>SUM(D27-D40)</f>
        <v>40269835.05</v>
      </c>
      <c r="E42" s="144">
        <f>SUM(E27-E40)</f>
        <v>19639561.5</v>
      </c>
      <c r="F42" s="144">
        <f>SUM(F27-F40)</f>
        <v>34177445.18000001</v>
      </c>
    </row>
    <row r="43" spans="1:6" ht="12.75" customHeight="1">
      <c r="A43" s="45" t="s">
        <v>212</v>
      </c>
      <c r="C43" s="67"/>
      <c r="D43" s="145"/>
      <c r="E43" s="145"/>
      <c r="F43" s="144">
        <f>-229557.67-27613.98+46088.12</f>
        <v>-211083.53000000003</v>
      </c>
    </row>
    <row r="44" spans="1:6" ht="12.75" customHeight="1">
      <c r="A44" s="146" t="s">
        <v>213</v>
      </c>
      <c r="B44" s="8"/>
      <c r="C44" s="12" t="s">
        <v>17</v>
      </c>
      <c r="D44" s="8"/>
      <c r="E44" s="8"/>
      <c r="F44" s="139">
        <f>'Sched 4 File'!E49</f>
        <v>-1389863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214</v>
      </c>
      <c r="E47" s="15" t="s">
        <v>17</v>
      </c>
      <c r="F47" s="144">
        <f>SUM(D42:F42)+F44+F43</f>
        <v>92485895.2</v>
      </c>
    </row>
    <row r="48" spans="1:7" ht="12.75" customHeight="1">
      <c r="A48" s="45"/>
      <c r="C48" s="32" t="s">
        <v>215</v>
      </c>
      <c r="D48" s="125" t="str">
        <f>'[1]Instruct &amp; Input'!C8</f>
        <v>April 30, 2009</v>
      </c>
      <c r="E48" s="15" t="s">
        <v>19</v>
      </c>
      <c r="F48" s="139">
        <f>'Sched 2 File'!E15</f>
        <v>78696000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216</v>
      </c>
      <c r="B50" s="8"/>
      <c r="C50" s="8"/>
      <c r="D50" s="8"/>
      <c r="E50" s="12" t="s">
        <v>8</v>
      </c>
      <c r="F50" s="141">
        <f>ROUND(F47/F48,4)</f>
        <v>1.1752</v>
      </c>
      <c r="G50" s="4" t="s">
        <v>158</v>
      </c>
    </row>
    <row r="51" ht="12.75" customHeight="1">
      <c r="G51" s="4" t="s">
        <v>217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E7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218</v>
      </c>
      <c r="K1" s="32" t="s">
        <v>218</v>
      </c>
      <c r="Q1" s="32" t="s">
        <v>218</v>
      </c>
      <c r="W1" s="32" t="s">
        <v>218</v>
      </c>
    </row>
    <row r="2" spans="2:23" ht="12.75" customHeight="1">
      <c r="B2" s="1" t="s">
        <v>178</v>
      </c>
      <c r="C2" s="1"/>
      <c r="D2" s="2"/>
      <c r="E2" s="102"/>
      <c r="K2" s="32" t="s">
        <v>219</v>
      </c>
      <c r="Q2" s="32" t="s">
        <v>220</v>
      </c>
      <c r="W2" s="32" t="s">
        <v>221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222</v>
      </c>
      <c r="G5" s="1"/>
      <c r="H5" s="1"/>
      <c r="I5" s="1"/>
      <c r="J5" s="1"/>
      <c r="K5" s="1"/>
      <c r="L5" s="1" t="s">
        <v>222</v>
      </c>
      <c r="M5" s="1"/>
      <c r="N5" s="1"/>
      <c r="O5" s="1"/>
      <c r="P5" s="1"/>
      <c r="Q5" s="1"/>
      <c r="R5" s="1" t="s">
        <v>222</v>
      </c>
      <c r="S5" s="1"/>
      <c r="T5" s="1"/>
      <c r="U5" s="1"/>
      <c r="V5" s="1"/>
      <c r="W5" s="1"/>
    </row>
    <row r="6" spans="2:23" ht="12.75" customHeight="1">
      <c r="B6" s="1" t="s">
        <v>223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224</v>
      </c>
      <c r="G7" s="1"/>
      <c r="H7" s="1"/>
      <c r="I7" s="1"/>
      <c r="J7" s="1"/>
      <c r="K7" s="1"/>
      <c r="L7" s="1" t="s">
        <v>225</v>
      </c>
      <c r="M7" s="1"/>
      <c r="N7" s="1"/>
      <c r="O7" s="1"/>
      <c r="P7" s="1"/>
      <c r="Q7" s="1"/>
      <c r="R7" s="1" t="s">
        <v>226</v>
      </c>
      <c r="S7" s="1"/>
      <c r="T7" s="1"/>
      <c r="U7" s="1"/>
      <c r="V7" s="1"/>
      <c r="W7" s="1"/>
    </row>
    <row r="8" spans="2:3" ht="12.75" customHeight="1">
      <c r="B8" s="32" t="s">
        <v>227</v>
      </c>
      <c r="C8" s="12" t="str">
        <f>'[1]Instruct &amp; Input'!C8</f>
        <v>April 30, 2009</v>
      </c>
    </row>
    <row r="9" spans="1:20" ht="12.75" customHeight="1">
      <c r="A9" s="8"/>
      <c r="B9" s="8"/>
      <c r="C9" s="8"/>
      <c r="D9" s="8"/>
      <c r="E9" s="59"/>
      <c r="G9" s="32" t="s">
        <v>228</v>
      </c>
      <c r="H9" s="2"/>
      <c r="M9" s="29" t="s">
        <v>229</v>
      </c>
      <c r="N9" s="2"/>
      <c r="S9" s="29" t="s">
        <v>230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231</v>
      </c>
      <c r="H10" s="125">
        <f>'[1]Instruct &amp; Input'!C20</f>
        <v>39141</v>
      </c>
      <c r="I10" s="15" t="s">
        <v>232</v>
      </c>
      <c r="J10" s="125">
        <f>'[1]Instruct &amp; Input'!E20</f>
        <v>39471</v>
      </c>
      <c r="K10" s="152">
        <f>VLOOKUP(H10,raaabatable,6)</f>
        <v>35594553</v>
      </c>
      <c r="M10" s="32" t="s">
        <v>231</v>
      </c>
      <c r="N10" s="125">
        <f>'[1]Instruct &amp; Input'!C20</f>
        <v>39141</v>
      </c>
      <c r="O10" s="15" t="s">
        <v>232</v>
      </c>
      <c r="P10" s="125">
        <f>L39</f>
        <v>39471</v>
      </c>
      <c r="Q10" s="152">
        <f>VLOOKUP(N10,raaabatable,5)</f>
        <v>0</v>
      </c>
      <c r="S10" s="32" t="s">
        <v>231</v>
      </c>
      <c r="T10" s="125">
        <f>'[1]Instruct &amp; Input'!C22</f>
        <v>39411</v>
      </c>
      <c r="U10" s="15" t="s">
        <v>232</v>
      </c>
      <c r="V10" s="125">
        <f>R21</f>
        <v>39471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233</v>
      </c>
      <c r="D12" s="42"/>
      <c r="E12" s="47"/>
      <c r="F12" s="15"/>
      <c r="G12" s="15"/>
      <c r="H12" s="15" t="s">
        <v>234</v>
      </c>
      <c r="I12" s="15"/>
      <c r="J12" s="15" t="s">
        <v>235</v>
      </c>
      <c r="K12" s="15"/>
      <c r="L12" s="15"/>
      <c r="M12" s="15"/>
      <c r="N12" s="15" t="s">
        <v>234</v>
      </c>
      <c r="O12" s="15"/>
      <c r="P12" s="15" t="s">
        <v>235</v>
      </c>
      <c r="Q12" s="15"/>
      <c r="R12" s="15"/>
      <c r="S12" s="15"/>
      <c r="T12" s="15" t="s">
        <v>234</v>
      </c>
      <c r="U12" s="15"/>
      <c r="V12" s="15" t="s">
        <v>235</v>
      </c>
      <c r="W12" s="15"/>
    </row>
    <row r="13" spans="1:23" ht="12.75" customHeight="1">
      <c r="A13" s="45"/>
      <c r="B13" s="4" t="s">
        <v>236</v>
      </c>
      <c r="D13" s="42"/>
      <c r="E13" s="153" t="s">
        <v>237</v>
      </c>
      <c r="F13" s="15" t="s">
        <v>238</v>
      </c>
      <c r="G13" s="15" t="s">
        <v>239</v>
      </c>
      <c r="H13" s="15" t="s">
        <v>240</v>
      </c>
      <c r="I13" s="15"/>
      <c r="J13" s="15" t="s">
        <v>241</v>
      </c>
      <c r="K13" s="15" t="s">
        <v>153</v>
      </c>
      <c r="L13" s="15" t="s">
        <v>238</v>
      </c>
      <c r="M13" s="15" t="s">
        <v>239</v>
      </c>
      <c r="N13" s="15" t="s">
        <v>240</v>
      </c>
      <c r="O13" s="15"/>
      <c r="P13" s="15" t="s">
        <v>241</v>
      </c>
      <c r="Q13" s="15" t="s">
        <v>153</v>
      </c>
      <c r="R13" s="15" t="s">
        <v>238</v>
      </c>
      <c r="S13" s="15" t="s">
        <v>239</v>
      </c>
      <c r="T13" s="15" t="s">
        <v>240</v>
      </c>
      <c r="U13" s="15"/>
      <c r="V13" s="15" t="s">
        <v>241</v>
      </c>
      <c r="W13" s="15" t="s">
        <v>153</v>
      </c>
    </row>
    <row r="14" spans="1:23" ht="12.75" customHeight="1">
      <c r="A14" s="45"/>
      <c r="D14" s="42"/>
      <c r="E14" s="153" t="s">
        <v>242</v>
      </c>
      <c r="F14" s="64" t="s">
        <v>243</v>
      </c>
      <c r="G14" s="64" t="s">
        <v>244</v>
      </c>
      <c r="H14" s="64" t="s">
        <v>245</v>
      </c>
      <c r="I14" s="64" t="s">
        <v>246</v>
      </c>
      <c r="J14" s="64" t="s">
        <v>247</v>
      </c>
      <c r="K14" s="64" t="s">
        <v>248</v>
      </c>
      <c r="L14" s="64" t="s">
        <v>243</v>
      </c>
      <c r="M14" s="64" t="s">
        <v>244</v>
      </c>
      <c r="N14" s="64" t="s">
        <v>245</v>
      </c>
      <c r="O14" s="64" t="s">
        <v>246</v>
      </c>
      <c r="P14" s="64" t="s">
        <v>247</v>
      </c>
      <c r="Q14" s="64" t="s">
        <v>248</v>
      </c>
      <c r="R14" s="64" t="s">
        <v>243</v>
      </c>
      <c r="S14" s="64" t="s">
        <v>244</v>
      </c>
      <c r="T14" s="64" t="s">
        <v>245</v>
      </c>
      <c r="U14" s="64" t="s">
        <v>246</v>
      </c>
      <c r="V14" s="64" t="s">
        <v>247</v>
      </c>
      <c r="W14" s="64" t="s">
        <v>248</v>
      </c>
    </row>
    <row r="15" spans="1:23" ht="12.75" customHeight="1">
      <c r="A15" s="45" t="s">
        <v>249</v>
      </c>
      <c r="D15" s="42"/>
      <c r="E15" s="153" t="s">
        <v>14</v>
      </c>
      <c r="G15" s="15" t="s">
        <v>250</v>
      </c>
      <c r="H15" s="15" t="s">
        <v>88</v>
      </c>
      <c r="I15" s="15" t="s">
        <v>88</v>
      </c>
      <c r="J15" s="15" t="s">
        <v>251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251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251</v>
      </c>
      <c r="W15" s="15" t="s">
        <v>17</v>
      </c>
    </row>
    <row r="16" spans="1:5" ht="12.75" customHeight="1">
      <c r="A16" s="45"/>
      <c r="B16" s="4" t="s">
        <v>252</v>
      </c>
      <c r="D16" s="42"/>
      <c r="E16" s="153" t="s">
        <v>218</v>
      </c>
    </row>
    <row r="17" spans="1:23" ht="12.75" customHeight="1">
      <c r="A17" s="45"/>
      <c r="B17" s="4" t="s">
        <v>253</v>
      </c>
      <c r="D17" s="42"/>
      <c r="E17" s="153" t="s">
        <v>254</v>
      </c>
      <c r="F17" s="154">
        <f>H10</f>
        <v>39141</v>
      </c>
      <c r="G17" s="55">
        <f>VLOOKUP(F17,ADJUSTTABLE,2)</f>
        <v>14724758.2</v>
      </c>
      <c r="H17" s="55">
        <f>VLOOKUP(F17,ADJUSTTABLE,4)</f>
        <v>1722783</v>
      </c>
      <c r="I17" s="55">
        <f>SUM(G17:H17)</f>
        <v>16447541.2</v>
      </c>
      <c r="J17" s="155">
        <f>VLOOKUP(H10,raaabatable,3)</f>
        <v>0.4663</v>
      </c>
      <c r="K17" s="55">
        <f>ROUND(I17*J17,0)</f>
        <v>7669488</v>
      </c>
      <c r="L17" s="154">
        <f>N10</f>
        <v>39141</v>
      </c>
      <c r="M17" s="55">
        <f>VLOOKUP(L17,ADJUSTTABLE,2)</f>
        <v>14724758.2</v>
      </c>
      <c r="N17" s="55">
        <f>VLOOKUP(L17,ADJUSTTABLE,4)</f>
        <v>1722783</v>
      </c>
      <c r="O17" s="55">
        <f>SUM(M17:N17)</f>
        <v>16447541.2</v>
      </c>
      <c r="P17" s="156">
        <f>VLOOKUP(N10,raaabatable,2)</f>
        <v>0</v>
      </c>
      <c r="Q17" s="55">
        <f>ROUND(O17*P17,0)</f>
        <v>0</v>
      </c>
      <c r="R17" s="154">
        <f>T10</f>
        <v>39411</v>
      </c>
      <c r="S17" s="55">
        <f>VLOOKUP(R17,ADJUSTTABLE,2)</f>
        <v>5068719.5</v>
      </c>
      <c r="T17" s="55">
        <f>VLOOKUP(R17,ADJUSTTABLE,4)</f>
        <v>0</v>
      </c>
      <c r="U17" s="55">
        <f>SUM(S17:T17)</f>
        <v>5068719.5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255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256</v>
      </c>
      <c r="D19" s="42"/>
      <c r="E19" s="47"/>
      <c r="F19" s="157">
        <f>SUM(F17+30)</f>
        <v>39171</v>
      </c>
      <c r="G19" s="55">
        <f>VLOOKUP(F19,ADJUSTTABLE,2)</f>
        <v>12969141.4</v>
      </c>
      <c r="H19" s="55">
        <f>VLOOKUP(F19,ADJUSTTABLE,4)</f>
        <v>1260414</v>
      </c>
      <c r="I19" s="55">
        <f>SUM(G19:H19)</f>
        <v>14229555.4</v>
      </c>
      <c r="J19" s="158">
        <f>J$17</f>
        <v>0.4663</v>
      </c>
      <c r="K19" s="55">
        <f>ROUND(I19*J19,0)</f>
        <v>6635242</v>
      </c>
      <c r="L19" s="157">
        <f>SUM(L17+30)</f>
        <v>39171</v>
      </c>
      <c r="M19" s="55">
        <f>VLOOKUP(L19,ADJUSTTABLE,2)</f>
        <v>12969141.4</v>
      </c>
      <c r="N19" s="55">
        <f>VLOOKUP(L19,ADJUSTTABLE,4)</f>
        <v>1260414</v>
      </c>
      <c r="O19" s="55">
        <f>SUM(M19:N19)</f>
        <v>14229555.4</v>
      </c>
      <c r="P19" s="4">
        <f>P$17</f>
        <v>0</v>
      </c>
      <c r="Q19" s="55">
        <f>ROUND(O19*P19,0)</f>
        <v>0</v>
      </c>
      <c r="R19" s="157">
        <f>SUM(R17+30)</f>
        <v>39441</v>
      </c>
      <c r="S19" s="55">
        <f>VLOOKUP(R19,ADJUSTTABLE,2)</f>
        <v>10230484.5</v>
      </c>
      <c r="T19" s="55">
        <f>VLOOKUP(R19,ADJUSTTABLE,4)</f>
        <v>0</v>
      </c>
      <c r="U19" s="55">
        <f>SUM(S19:T19)</f>
        <v>10230484.5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224</v>
      </c>
      <c r="D21" s="80" t="s">
        <v>17</v>
      </c>
      <c r="E21" s="139">
        <f>K44</f>
        <v>-1389863</v>
      </c>
      <c r="F21" s="157">
        <f>SUM(F19+30)</f>
        <v>39201</v>
      </c>
      <c r="G21" s="55">
        <f>VLOOKUP(F21,ADJUSTTABLE,2)</f>
        <v>7773239.9</v>
      </c>
      <c r="H21" s="55">
        <f>VLOOKUP(F21,ADJUSTTABLE,4)</f>
        <v>813661</v>
      </c>
      <c r="I21" s="55">
        <f>SUM(G21:H21)</f>
        <v>8586900.9</v>
      </c>
      <c r="J21" s="158">
        <f>J$17</f>
        <v>0.4663</v>
      </c>
      <c r="K21" s="55">
        <f>ROUND(I21*J21,0)</f>
        <v>4004072</v>
      </c>
      <c r="L21" s="157">
        <f>SUM(L19+30)</f>
        <v>39201</v>
      </c>
      <c r="M21" s="55">
        <f>VLOOKUP(L21,ADJUSTTABLE,2)</f>
        <v>7773239.9</v>
      </c>
      <c r="N21" s="55">
        <f>VLOOKUP(L21,ADJUSTTABLE,4)</f>
        <v>813661</v>
      </c>
      <c r="O21" s="55">
        <f>SUM(M21:N21)</f>
        <v>8586900.9</v>
      </c>
      <c r="P21" s="4">
        <f>P$17</f>
        <v>0</v>
      </c>
      <c r="Q21" s="55">
        <f>ROUND(O21*P21,0)</f>
        <v>0</v>
      </c>
      <c r="R21" s="157">
        <f>SUM(R19+30)</f>
        <v>39471</v>
      </c>
      <c r="S21" s="101">
        <f>VLOOKUP(R21,ADJUSTTABLE,2)</f>
        <v>12783246.7</v>
      </c>
      <c r="T21" s="101">
        <f>VLOOKUP(R21,ADJUSTTABLE,4)</f>
        <v>0</v>
      </c>
      <c r="U21" s="101">
        <f>SUM(S21:T21)</f>
        <v>12783246.7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39231</v>
      </c>
      <c r="G23" s="55">
        <f>VLOOKUP(F23,ADJUSTTABLE,2)</f>
        <v>3922916.3</v>
      </c>
      <c r="H23" s="55">
        <f>VLOOKUP(F23,ADJUSTTABLE,4)</f>
        <v>408543</v>
      </c>
      <c r="I23" s="55">
        <f>SUM(G23:H23)</f>
        <v>4331459.3</v>
      </c>
      <c r="J23" s="158">
        <f>J$17</f>
        <v>0.4663</v>
      </c>
      <c r="K23" s="55">
        <f>ROUND(I23*J23,0)</f>
        <v>2019759</v>
      </c>
      <c r="L23" s="157">
        <f>SUM(L21+30)</f>
        <v>39231</v>
      </c>
      <c r="M23" s="55">
        <f>VLOOKUP(L23,ADJUSTTABLE,2)</f>
        <v>3922916.3</v>
      </c>
      <c r="N23" s="55">
        <f>VLOOKUP(L23,ADJUSTTABLE,4)</f>
        <v>408543</v>
      </c>
      <c r="O23" s="55">
        <f>SUM(M23:N23)</f>
        <v>4331459.3</v>
      </c>
      <c r="P23" s="4">
        <f>P$17</f>
        <v>0</v>
      </c>
      <c r="Q23" s="55">
        <f>ROUND(O23*P23,0)</f>
        <v>0</v>
      </c>
      <c r="R23" s="157" t="s">
        <v>246</v>
      </c>
      <c r="S23" s="55">
        <f>SUM(S17:S21)</f>
        <v>28082450.7</v>
      </c>
      <c r="T23" s="55">
        <f>SUM(T17:T21)</f>
        <v>0</v>
      </c>
      <c r="U23" s="55">
        <f>SUM(U17:U21)</f>
        <v>28082450.7</v>
      </c>
      <c r="W23" s="101">
        <f>SUM(W17:W21)</f>
        <v>0</v>
      </c>
    </row>
    <row r="24" spans="1:24" ht="12.75" customHeight="1">
      <c r="A24" s="45" t="s">
        <v>257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258</v>
      </c>
      <c r="D25" s="42"/>
      <c r="E25" s="47"/>
      <c r="F25" s="157">
        <f>SUM(F23+30)</f>
        <v>39261</v>
      </c>
      <c r="G25" s="55">
        <f>VLOOKUP(F25,ADJUSTTABLE,2)</f>
        <v>1796615.4</v>
      </c>
      <c r="H25" s="55">
        <f>VLOOKUP(F25,ADJUSTTABLE,4)</f>
        <v>0</v>
      </c>
      <c r="I25" s="55">
        <f>SUM(G25:H25)</f>
        <v>1796615.4</v>
      </c>
      <c r="J25" s="158">
        <f>J$17</f>
        <v>0.4663</v>
      </c>
      <c r="K25" s="55">
        <f>ROUND(I25*J25,0)</f>
        <v>837762</v>
      </c>
      <c r="L25" s="157">
        <f>SUM(L23+30)</f>
        <v>39261</v>
      </c>
      <c r="M25" s="55">
        <f>VLOOKUP(L25,ADJUSTTABLE,2)</f>
        <v>1796615.4</v>
      </c>
      <c r="N25" s="55">
        <f>VLOOKUP(L25,ADJUSTTABLE,4)</f>
        <v>0</v>
      </c>
      <c r="O25" s="55">
        <f>SUM(M25:N25)</f>
        <v>1796615.4</v>
      </c>
      <c r="P25" s="4">
        <f>P$17</f>
        <v>0</v>
      </c>
      <c r="Q25" s="55">
        <f>ROUND(O25*P25,0)</f>
        <v>0</v>
      </c>
      <c r="R25" s="157" t="s">
        <v>226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259</v>
      </c>
      <c r="D26" s="42"/>
      <c r="E26" s="153" t="s">
        <v>237</v>
      </c>
      <c r="G26" s="55"/>
      <c r="H26" s="55"/>
      <c r="I26" s="55"/>
      <c r="M26" s="55"/>
      <c r="N26" s="55"/>
      <c r="O26" s="55"/>
      <c r="R26" s="4" t="s">
        <v>260</v>
      </c>
      <c r="S26" s="55"/>
      <c r="T26" s="55"/>
      <c r="U26" s="55"/>
    </row>
    <row r="27" spans="1:23" ht="12.75" customHeight="1">
      <c r="A27" s="45"/>
      <c r="D27" s="42"/>
      <c r="E27" s="153" t="s">
        <v>242</v>
      </c>
      <c r="F27" s="157">
        <f>SUM(F25+30)</f>
        <v>39291</v>
      </c>
      <c r="G27" s="55">
        <f>VLOOKUP(F27,ADJUSTTABLE,2)</f>
        <v>1529302.5</v>
      </c>
      <c r="H27" s="55">
        <f>VLOOKUP(F27,ADJUSTTABLE,4)</f>
        <v>0</v>
      </c>
      <c r="I27" s="55">
        <f>SUM(G27:H27)</f>
        <v>1529302.5</v>
      </c>
      <c r="J27" s="158">
        <f>J$17</f>
        <v>0.4663</v>
      </c>
      <c r="K27" s="55">
        <f>ROUND(I27*J27,0)</f>
        <v>713114</v>
      </c>
      <c r="L27" s="157">
        <f>SUM(L25+30)</f>
        <v>39291</v>
      </c>
      <c r="M27" s="55">
        <f>VLOOKUP(L27,ADJUSTTABLE,2)</f>
        <v>1529302.5</v>
      </c>
      <c r="N27" s="55">
        <f>VLOOKUP(L27,ADJUSTTABLE,4)</f>
        <v>0</v>
      </c>
      <c r="O27" s="55">
        <f>SUM(M27:N27)</f>
        <v>1529302.5</v>
      </c>
      <c r="P27" s="4">
        <f>P$17</f>
        <v>0</v>
      </c>
      <c r="Q27" s="55">
        <f>ROUND(O27*P27,0)</f>
        <v>0</v>
      </c>
      <c r="R27" s="147" t="s">
        <v>261</v>
      </c>
      <c r="S27" s="55"/>
      <c r="T27" s="55"/>
      <c r="U27" s="55"/>
      <c r="W27" s="55"/>
    </row>
    <row r="28" spans="1:21" ht="12.75" customHeight="1">
      <c r="A28" s="45" t="s">
        <v>262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263</v>
      </c>
      <c r="T28" s="55"/>
      <c r="U28" s="55"/>
    </row>
    <row r="29" spans="1:23" ht="12.75" customHeight="1">
      <c r="A29" s="45"/>
      <c r="B29" s="4" t="s">
        <v>264</v>
      </c>
      <c r="D29" s="42"/>
      <c r="E29" s="164" t="s">
        <v>218</v>
      </c>
      <c r="F29" s="157">
        <f>SUM(F27+30)</f>
        <v>39321</v>
      </c>
      <c r="G29" s="55">
        <f>VLOOKUP(F29,ADJUSTTABLE,2)</f>
        <v>1322229</v>
      </c>
      <c r="H29" s="55">
        <f>VLOOKUP(F29,ADJUSTTABLE,4)</f>
        <v>0</v>
      </c>
      <c r="I29" s="55">
        <f>SUM(G29:H29)</f>
        <v>1322229</v>
      </c>
      <c r="J29" s="158">
        <f>J$17</f>
        <v>0.4663</v>
      </c>
      <c r="K29" s="55">
        <f>ROUND(I29*J29,0)</f>
        <v>616555</v>
      </c>
      <c r="L29" s="157">
        <f>SUM(L27+30)</f>
        <v>39321</v>
      </c>
      <c r="M29" s="55">
        <f>VLOOKUP(L29,ADJUSTTABLE,2)</f>
        <v>1322229</v>
      </c>
      <c r="N29" s="55">
        <f>VLOOKUP(L29,ADJUSTTABLE,4)</f>
        <v>0</v>
      </c>
      <c r="O29" s="55">
        <f>SUM(M29:N29)</f>
        <v>1322229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265</v>
      </c>
      <c r="D30" s="42"/>
      <c r="E30" s="153" t="s">
        <v>266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267</v>
      </c>
      <c r="D31" s="42"/>
      <c r="E31" s="47"/>
      <c r="F31" s="157">
        <f>SUM(F29+30)</f>
        <v>39351</v>
      </c>
      <c r="G31" s="55">
        <f>VLOOKUP(F31,ADJUSTTABLE,2)</f>
        <v>1395702.3</v>
      </c>
      <c r="H31" s="55">
        <f>VLOOKUP(F31,ADJUSTTABLE,4)</f>
        <v>0</v>
      </c>
      <c r="I31" s="55">
        <f>SUM(G31:H31)</f>
        <v>1395702.3</v>
      </c>
      <c r="J31" s="158">
        <f>J$17</f>
        <v>0.4663</v>
      </c>
      <c r="K31" s="55">
        <f>ROUND(I31*J31,0)</f>
        <v>650816</v>
      </c>
      <c r="L31" s="157">
        <f>SUM(L29+30)</f>
        <v>39351</v>
      </c>
      <c r="M31" s="55">
        <f>VLOOKUP(L31,ADJUSTTABLE,2)</f>
        <v>1395702.3</v>
      </c>
      <c r="N31" s="55">
        <f>VLOOKUP(L31,ADJUSTTABLE,4)</f>
        <v>0</v>
      </c>
      <c r="O31" s="55">
        <f>SUM(M31:N31)</f>
        <v>1395702.3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255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256</v>
      </c>
      <c r="D33" s="42"/>
      <c r="E33" s="47"/>
      <c r="F33" s="157">
        <f>SUM(F31+30)</f>
        <v>39381</v>
      </c>
      <c r="G33" s="55">
        <f>VLOOKUP(F33,ADJUSTTABLE,2)</f>
        <v>1592881.4</v>
      </c>
      <c r="H33" s="55">
        <f>VLOOKUP(F33,ADJUSTTABLE,4)</f>
        <v>0</v>
      </c>
      <c r="I33" s="55">
        <f>SUM(G33:H33)</f>
        <v>1592881.4</v>
      </c>
      <c r="J33" s="158">
        <f>J$17</f>
        <v>0.4663</v>
      </c>
      <c r="K33" s="55">
        <f>ROUND(I33*J33,0)</f>
        <v>742761</v>
      </c>
      <c r="L33" s="157">
        <f>SUM(L31+30)</f>
        <v>39381</v>
      </c>
      <c r="M33" s="55">
        <f>VLOOKUP(L33,ADJUSTTABLE,2)</f>
        <v>1592881.4</v>
      </c>
      <c r="N33" s="55">
        <f>VLOOKUP(L33,ADJUSTTABLE,4)</f>
        <v>0</v>
      </c>
      <c r="O33" s="55">
        <f>SUM(M33:N33)</f>
        <v>1592881.4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225</v>
      </c>
      <c r="D35" s="80" t="s">
        <v>17</v>
      </c>
      <c r="E35" s="139">
        <f>Q44</f>
        <v>0</v>
      </c>
      <c r="F35" s="157">
        <f>SUM(F33+30)</f>
        <v>39411</v>
      </c>
      <c r="G35" s="55">
        <f>VLOOKUP(F35,ADJUSTTABLE,2)</f>
        <v>5068719.5</v>
      </c>
      <c r="H35" s="55">
        <f>VLOOKUP(F35,ADJUSTTABLE,4)</f>
        <v>0</v>
      </c>
      <c r="I35" s="55">
        <f>SUM(G35:H35)</f>
        <v>5068719.5</v>
      </c>
      <c r="J35" s="158">
        <f>J$17</f>
        <v>0.4663</v>
      </c>
      <c r="K35" s="55">
        <f>ROUND(I35*J35,0)</f>
        <v>2363544</v>
      </c>
      <c r="L35" s="157">
        <f>SUM(L33+30)</f>
        <v>39411</v>
      </c>
      <c r="M35" s="55">
        <f>VLOOKUP(L35,ADJUSTTABLE,2)</f>
        <v>5068719.5</v>
      </c>
      <c r="N35" s="55">
        <f>VLOOKUP(L35,ADJUSTTABLE,4)</f>
        <v>0</v>
      </c>
      <c r="O35" s="55">
        <f>SUM(M35:N35)</f>
        <v>5068719.5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39441</v>
      </c>
      <c r="G37" s="55">
        <f>VLOOKUP(F37,ADJUSTTABLE,2)</f>
        <v>10230484.5</v>
      </c>
      <c r="H37" s="55">
        <f>VLOOKUP(F37,ADJUSTTABLE,4)</f>
        <v>0</v>
      </c>
      <c r="I37" s="55">
        <f>SUM(G37:H37)</f>
        <v>10230484.5</v>
      </c>
      <c r="J37" s="158">
        <f>J$17</f>
        <v>0.4663</v>
      </c>
      <c r="K37" s="55">
        <f>ROUND(I37*J37,0)</f>
        <v>4770475</v>
      </c>
      <c r="L37" s="157">
        <f>SUM(L35+30)</f>
        <v>39441</v>
      </c>
      <c r="M37" s="55">
        <f>VLOOKUP(L37,ADJUSTTABLE,2)</f>
        <v>10230484.5</v>
      </c>
      <c r="N37" s="55">
        <f>VLOOKUP(L37,ADJUSTTABLE,4)</f>
        <v>0</v>
      </c>
      <c r="O37" s="55">
        <f>SUM(M37:N37)</f>
        <v>10230484.5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268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269</v>
      </c>
      <c r="D39" s="42"/>
      <c r="E39" s="153" t="s">
        <v>237</v>
      </c>
      <c r="F39" s="157">
        <f>SUM(F37+30)</f>
        <v>39471</v>
      </c>
      <c r="G39" s="101">
        <f>VLOOKUP(F39,ADJUSTTABLE,2)</f>
        <v>12783246.7</v>
      </c>
      <c r="H39" s="101">
        <f>VLOOKUP(F39,ADJUSTTABLE,4)</f>
        <v>0</v>
      </c>
      <c r="I39" s="101">
        <f>SUM(G39:H39)</f>
        <v>12783246.7</v>
      </c>
      <c r="J39" s="158">
        <f>J$17</f>
        <v>0.4663</v>
      </c>
      <c r="K39" s="101">
        <f>ROUND(I39*J39,0)</f>
        <v>5960828</v>
      </c>
      <c r="L39" s="157">
        <f>SUM(L37+30)</f>
        <v>39471</v>
      </c>
      <c r="M39" s="101">
        <f>VLOOKUP(L39,ADJUSTTABLE,2)</f>
        <v>12783246.7</v>
      </c>
      <c r="N39" s="101">
        <f>VLOOKUP(L39,ADJUSTTABLE,4)</f>
        <v>0</v>
      </c>
      <c r="O39" s="101">
        <f>SUM(M39:N39)</f>
        <v>12783246.7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242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270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271</v>
      </c>
      <c r="D42" s="42"/>
      <c r="E42" s="153" t="s">
        <v>218</v>
      </c>
      <c r="F42" s="4" t="s">
        <v>246</v>
      </c>
      <c r="G42" s="55">
        <f>SUM(G17:G39)</f>
        <v>75109237.1</v>
      </c>
      <c r="H42" s="55">
        <f>SUM(H17:H39)</f>
        <v>4205401</v>
      </c>
      <c r="I42" s="55">
        <f>SUM(I17:I39)</f>
        <v>79314638.1</v>
      </c>
      <c r="K42" s="101">
        <f>SUM(K17:K39)</f>
        <v>36984416</v>
      </c>
      <c r="L42" s="4" t="s">
        <v>246</v>
      </c>
      <c r="M42" s="55">
        <f>SUM(M17:M39)</f>
        <v>75109237.1</v>
      </c>
      <c r="N42" s="55">
        <f>SUM(N17:N39)</f>
        <v>4205401</v>
      </c>
      <c r="O42" s="55">
        <f>SUM(O17:O39)</f>
        <v>79314638.1</v>
      </c>
      <c r="Q42" s="101">
        <f>SUM(Q17:Q39)</f>
        <v>0</v>
      </c>
    </row>
    <row r="43" spans="1:23" ht="12.75" customHeight="1">
      <c r="A43" s="45"/>
      <c r="B43" s="4" t="s">
        <v>272</v>
      </c>
      <c r="D43" s="42"/>
      <c r="E43" s="153" t="s">
        <v>273</v>
      </c>
      <c r="W43" s="165"/>
    </row>
    <row r="44" spans="1:17" ht="12.75" customHeight="1" thickBot="1">
      <c r="A44" s="45"/>
      <c r="B44" s="4" t="s">
        <v>274</v>
      </c>
      <c r="D44" s="42"/>
      <c r="E44" s="47"/>
      <c r="F44" s="4" t="s">
        <v>224</v>
      </c>
      <c r="K44" s="166">
        <f>SUM(K10-K42)</f>
        <v>-1389863</v>
      </c>
      <c r="L44" s="4" t="s">
        <v>225</v>
      </c>
      <c r="Q44" s="166">
        <f>SUM(Q10-Q42)</f>
        <v>0</v>
      </c>
    </row>
    <row r="45" spans="1:5" ht="12.75" customHeight="1" thickTop="1">
      <c r="A45" s="45"/>
      <c r="B45" s="4" t="s">
        <v>275</v>
      </c>
      <c r="D45" s="42"/>
      <c r="E45" s="47"/>
    </row>
    <row r="46" spans="1:12" ht="12.75" customHeight="1">
      <c r="A46" s="45"/>
      <c r="D46" s="42"/>
      <c r="E46" s="47"/>
      <c r="F46" s="147" t="s">
        <v>261</v>
      </c>
      <c r="L46" s="147" t="s">
        <v>261</v>
      </c>
    </row>
    <row r="47" spans="1:12" ht="12.75" customHeight="1">
      <c r="A47" s="45"/>
      <c r="B47" s="4" t="s">
        <v>226</v>
      </c>
      <c r="D47" s="80" t="s">
        <v>17</v>
      </c>
      <c r="E47" s="139">
        <f>W25</f>
        <v>0</v>
      </c>
      <c r="F47" s="147" t="s">
        <v>263</v>
      </c>
      <c r="L47" s="147" t="s">
        <v>263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276</v>
      </c>
      <c r="C49" s="8"/>
      <c r="D49" s="126" t="s">
        <v>17</v>
      </c>
      <c r="E49" s="139">
        <f>SUM(E47+E35+E21)</f>
        <v>-1389863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277</v>
      </c>
      <c r="B3" s="2"/>
      <c r="C3" s="2"/>
      <c r="D3" s="2"/>
      <c r="E3" s="2"/>
    </row>
    <row r="4" spans="1:5" ht="12.75" customHeight="1">
      <c r="A4" s="2" t="s">
        <v>278</v>
      </c>
      <c r="B4" s="2"/>
      <c r="C4" s="2"/>
      <c r="D4" s="2"/>
      <c r="E4" s="2"/>
    </row>
    <row r="5" spans="1:5" ht="12.75" customHeight="1">
      <c r="A5" s="105">
        <f>'[1]Instruct &amp; Input'!C10</f>
        <v>39629</v>
      </c>
      <c r="B5" s="2"/>
      <c r="C5" s="2"/>
      <c r="D5" s="2"/>
      <c r="E5" s="2"/>
    </row>
    <row r="7" spans="1:5" ht="12.75" customHeight="1">
      <c r="A7" s="168" t="s">
        <v>279</v>
      </c>
      <c r="B7" s="124"/>
      <c r="C7" s="124"/>
      <c r="D7" s="124"/>
      <c r="E7" s="124"/>
    </row>
    <row r="8" spans="1:5" ht="12.75" customHeight="1">
      <c r="A8" s="169" t="s">
        <v>280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281</v>
      </c>
    </row>
    <row r="12" spans="1:5" ht="12.75" customHeight="1">
      <c r="A12" s="4">
        <f>A10+1</f>
        <v>2</v>
      </c>
      <c r="C12" s="4" t="s">
        <v>282</v>
      </c>
      <c r="E12" s="59">
        <f>'Summ File'!F18</f>
        <v>108991540</v>
      </c>
    </row>
    <row r="13" spans="1:5" ht="12.75" customHeight="1">
      <c r="A13" s="4">
        <f>A12+1</f>
        <v>3</v>
      </c>
      <c r="C13" s="4" t="s">
        <v>283</v>
      </c>
      <c r="E13" s="55">
        <f>'Summ File'!F19</f>
        <v>87678000</v>
      </c>
    </row>
    <row r="15" spans="1:5" ht="12.75" customHeight="1">
      <c r="A15" s="4">
        <f>A13+1</f>
        <v>4</v>
      </c>
      <c r="C15" s="4" t="s">
        <v>284</v>
      </c>
      <c r="E15" s="171">
        <f>ROUND(E12/E13,4)*100</f>
        <v>124.31</v>
      </c>
    </row>
    <row r="16" spans="1:5" ht="12.75" customHeight="1">
      <c r="A16" s="4">
        <f>A15+1</f>
        <v>5</v>
      </c>
      <c r="C16" s="4" t="s">
        <v>285</v>
      </c>
      <c r="D16" s="32" t="s">
        <v>83</v>
      </c>
      <c r="E16" s="172">
        <f>'[1]Instruct &amp; Input'!R33</f>
        <v>0.04987</v>
      </c>
    </row>
    <row r="17" spans="1:5" ht="12.75" customHeight="1">
      <c r="A17" s="4">
        <f>A16+1</f>
        <v>6</v>
      </c>
      <c r="C17" s="4" t="s">
        <v>286</v>
      </c>
      <c r="E17" s="173">
        <f>ROUND(E15*E16,2)</f>
        <v>6.2</v>
      </c>
    </row>
    <row r="18" ht="12.75" customHeight="1">
      <c r="E18" s="174"/>
    </row>
    <row r="19" spans="1:5" ht="12.75" customHeight="1" thickBot="1">
      <c r="A19" s="4">
        <f>A17+1</f>
        <v>7</v>
      </c>
      <c r="C19" s="4" t="s">
        <v>281</v>
      </c>
      <c r="E19" s="175">
        <f>SUM(E15+E17)</f>
        <v>130.51</v>
      </c>
    </row>
    <row r="20" ht="12.75" customHeight="1" thickTop="1">
      <c r="E20" s="176"/>
    </row>
    <row r="21" ht="12.75" customHeight="1">
      <c r="E21" s="176"/>
    </row>
    <row r="22" ht="12.75" customHeight="1">
      <c r="E22" s="176"/>
    </row>
    <row r="23" spans="1:5" ht="12.75" customHeight="1">
      <c r="A23" s="4">
        <f>A19+1</f>
        <v>8</v>
      </c>
      <c r="C23" s="177">
        <v>0.1</v>
      </c>
      <c r="D23" s="4" t="s">
        <v>281</v>
      </c>
      <c r="E23" s="178">
        <f>ROUND($E$19*C23,2)</f>
        <v>13.05</v>
      </c>
    </row>
    <row r="24" ht="12.75" customHeight="1">
      <c r="C24" s="15"/>
    </row>
    <row r="25" spans="1:5" ht="12.75" customHeight="1">
      <c r="A25" s="4">
        <f>A23+1</f>
        <v>9</v>
      </c>
      <c r="C25" s="177">
        <v>0.2</v>
      </c>
      <c r="D25" s="4" t="s">
        <v>281</v>
      </c>
      <c r="E25" s="178">
        <f>ROUND($E$19*C25,2)</f>
        <v>26.1</v>
      </c>
    </row>
    <row r="26" ht="12.75" customHeight="1">
      <c r="C26" s="15"/>
    </row>
    <row r="27" spans="1:5" ht="12.75" customHeight="1">
      <c r="A27" s="4">
        <v>10</v>
      </c>
      <c r="C27" s="177">
        <v>0.3</v>
      </c>
      <c r="D27" s="4" t="s">
        <v>281</v>
      </c>
      <c r="E27" s="178">
        <f>ROUND($E$19*C27,2)</f>
        <v>39.15</v>
      </c>
    </row>
    <row r="28" ht="12.75" customHeight="1">
      <c r="C28" s="15"/>
    </row>
    <row r="29" spans="1:5" ht="12.75" customHeight="1">
      <c r="A29" s="4">
        <v>11</v>
      </c>
      <c r="C29" s="177">
        <v>0.4</v>
      </c>
      <c r="D29" s="4" t="s">
        <v>281</v>
      </c>
      <c r="E29" s="178">
        <f>ROUND($E$19*C29,2)</f>
        <v>52.2</v>
      </c>
    </row>
    <row r="30" ht="12.75" customHeight="1">
      <c r="C30" s="15"/>
    </row>
    <row r="31" spans="1:5" ht="12.75" customHeight="1">
      <c r="A31" s="4">
        <v>12</v>
      </c>
      <c r="C31" s="177">
        <v>0.5</v>
      </c>
      <c r="D31" s="4" t="s">
        <v>281</v>
      </c>
      <c r="E31" s="178">
        <f>ROUND($E$19*C31,2)</f>
        <v>65.26</v>
      </c>
    </row>
    <row r="32" ht="12.75" customHeight="1">
      <c r="C32" s="15"/>
    </row>
    <row r="33" spans="1:5" ht="12.75" customHeight="1">
      <c r="A33" s="4">
        <v>13</v>
      </c>
      <c r="C33" s="177">
        <v>0.6</v>
      </c>
      <c r="D33" s="4" t="s">
        <v>281</v>
      </c>
      <c r="E33" s="178">
        <f>ROUND($E$19*C33,2)</f>
        <v>78.31</v>
      </c>
    </row>
    <row r="34" ht="12.75" customHeight="1">
      <c r="C34" s="15"/>
    </row>
    <row r="35" spans="1:5" ht="12.75" customHeight="1">
      <c r="A35" s="4">
        <v>14</v>
      </c>
      <c r="C35" s="177">
        <v>0.7</v>
      </c>
      <c r="D35" s="4" t="s">
        <v>281</v>
      </c>
      <c r="E35" s="178">
        <f>ROUND($E$19*C35,2)</f>
        <v>91.36</v>
      </c>
    </row>
    <row r="36" spans="3:4" ht="12.75" customHeight="1">
      <c r="C36" s="15"/>
      <c r="D36" s="4" t="s">
        <v>287</v>
      </c>
    </row>
    <row r="37" spans="1:5" ht="12.75" customHeight="1">
      <c r="A37" s="4">
        <v>15</v>
      </c>
      <c r="C37" s="177">
        <v>0.8</v>
      </c>
      <c r="D37" s="4" t="s">
        <v>281</v>
      </c>
      <c r="E37" s="178">
        <f>ROUND($E$19*C37,2)</f>
        <v>104.41</v>
      </c>
    </row>
    <row r="38" ht="12.75" customHeight="1">
      <c r="C38" s="15"/>
    </row>
    <row r="39" spans="1:5" ht="12.75" customHeight="1">
      <c r="A39" s="4">
        <v>16</v>
      </c>
      <c r="C39" s="177">
        <v>0.9</v>
      </c>
      <c r="D39" s="4" t="s">
        <v>281</v>
      </c>
      <c r="E39" s="178">
        <f>ROUND($E$19*C39,2)</f>
        <v>117.46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2008-06-16T11:53:41Z</dcterms:created>
  <dcterms:modified xsi:type="dcterms:W3CDTF">2008-06-16T12:49:58Z</dcterms:modified>
  <cp:category/>
  <cp:version/>
  <cp:contentType/>
  <cp:contentStatus/>
</cp:coreProperties>
</file>