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umm File" sheetId="1" r:id="rId1"/>
    <sheet name="Sched I File" sheetId="2" r:id="rId2"/>
    <sheet name="Sched 1A File" sheetId="3" r:id="rId3"/>
    <sheet name="Sched I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Input'!$A$6:$AB$145</definedName>
    <definedName name="ADJUSTTABLE">'[1]Instruct &amp; Input'!$J$6:$M$134</definedName>
    <definedName name="ESTIMATEINJ">'[1]Actuals Input'!#REF!</definedName>
    <definedName name="ESTIMATES">'[1]Actuals Input'!#REF!</definedName>
    <definedName name="PIPTABLE">'[1]Instruct &amp; Input'!$G$6:$H$134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Input'!$AB$5:$AH$46</definedName>
    <definedName name="sched1">'[1]Sched IA Work'!#REF!</definedName>
    <definedName name="summary">'Summ File'!$A$1:$F$47</definedName>
    <definedName name="TABLE242">'[1]242 Input'!$A$6:$R$120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(122,118.13) for Nov, 61,536.11 for Dec and 259,162.63 for Jan. Also, Regulatory Assessment Fee and Gas Storage Carrying Costs 191-4000-GCRRA-13600-YR2008, 191-4000-GCRCC-13600-YR2008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<sst xmlns="http://schemas.openxmlformats.org/spreadsheetml/2006/main" count="998" uniqueCount="285">
  <si>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</si>
  <si>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</si>
  <si>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</si>
  <si>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</si>
  <si>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</si>
  <si>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</si>
  <si>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</si>
  <si>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</si>
  <si>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</si>
  <si>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</si>
  <si>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</si>
  <si>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</si>
  <si>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</si>
  <si>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</si>
  <si>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</si>
  <si>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</si>
  <si>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</si>
  <si>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</si>
  <si>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</si>
  <si>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</si>
  <si>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</si>
  <si>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</si>
  <si>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</si>
  <si>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</si>
  <si>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</si>
  <si>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</si>
  <si>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</si>
  <si>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</si>
  <si>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</si>
  <si>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</si>
  <si>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</si>
  <si>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</si>
  <si>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</si>
  <si>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</si>
  <si>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</si>
  <si>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</si>
  <si>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</si>
  <si>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</si>
  <si>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</si>
  <si>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</si>
  <si>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</si>
  <si>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</si>
  <si>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</si>
  <si>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</si>
  <si>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</si>
  <si>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</si>
  <si>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</si>
  <si>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</si>
  <si>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</si>
  <si>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</si>
  <si>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</si>
  <si>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</si>
  <si>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</si>
  <si>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</si>
  <si>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</si>
  <si>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</si>
  <si>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</si>
  <si>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</si>
  <si>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</si>
  <si>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</si>
  <si>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</si>
  <si>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</si>
  <si>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</si>
  <si>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</si>
  <si>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</si>
  <si>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</si>
  <si>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</si>
  <si>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</si>
  <si>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</si>
  <si>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</si>
  <si>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</si>
  <si>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</si>
  <si>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</si>
  <si>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</si>
  <si>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</si>
  <si>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</si>
  <si>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</si>
  <si>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</si>
  <si>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</si>
  <si>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</si>
  <si>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</si>
  <si>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</si>
  <si>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</si>
  <si>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</si>
  <si>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</si>
  <si>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</si>
  <si>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</si>
  <si>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</si>
  <si>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</si>
  <si>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</si>
  <si>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</si>
  <si>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</si>
  <si>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</si>
  <si>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</si>
  <si>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</si>
  <si>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</si>
  <si>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</si>
  <si>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</si>
  <si>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</si>
  <si>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</si>
  <si>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</si>
  <si>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</si>
  <si>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</si>
  <si>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</si>
  <si>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</si>
  <si>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</si>
  <si>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</si>
  <si>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</si>
  <si>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</si>
  <si>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</si>
  <si>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</si>
  <si>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</si>
  <si>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</si>
  <si>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</si>
  <si>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</si>
  <si>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</si>
  <si>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</si>
  <si>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</si>
  <si>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</si>
  <si>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</si>
  <si>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</si>
  <si>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</si>
  <si>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</si>
  <si>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</si>
  <si>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</si>
  <si>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</si>
  <si>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</si>
  <si>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</si>
  <si>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</si>
  <si>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</si>
  <si>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</si>
  <si>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</si>
  <si>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</si>
  <si>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</si>
  <si>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</si>
  <si>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</si>
  <si>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</si>
  <si>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</si>
  <si>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</si>
  <si>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</si>
  <si>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</si>
  <si>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</si>
  <si>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</si>
  <si>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</si>
  <si>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</si>
  <si>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</si>
  <si>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</si>
  <si>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</si>
  <si>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</si>
  <si>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</si>
  <si>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</si>
  <si>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</si>
  <si>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</si>
  <si>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</si>
  <si>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</si>
  <si>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</si>
  <si>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</si>
  <si>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</si>
  <si>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</si>
  <si>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</si>
  <si>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</si>
  <si>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</si>
  <si>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</si>
  <si>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</si>
  <si>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</si>
  <si>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</si>
  <si>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</si>
  <si>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</si>
  <si>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</si>
  <si>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</si>
  <si>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</si>
  <si>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</si>
  <si>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</si>
  <si>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</si>
  <si>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</si>
  <si>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</si>
  <si>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</si>
  <si>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</si>
  <si>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</si>
  <si>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</si>
  <si>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</si>
  <si>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</si>
  <si>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</si>
  <si>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</si>
  <si>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</si>
  <si>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</si>
  <si>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</si>
  <si>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</si>
  <si>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</si>
  <si>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</si>
  <si>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</si>
  <si>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</si>
  <si>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</si>
  <si>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</si>
  <si>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</si>
  <si>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</si>
  <si>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</si>
  <si>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</si>
  <si>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</si>
  <si>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</si>
  <si>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</si>
  <si>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</si>
  <si>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</si>
  <si>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</si>
  <si>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</si>
  <si>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</si>
  <si>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</si>
  <si>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</si>
  <si>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</si>
  <si>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</si>
  <si>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</si>
  <si>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Other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</si>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</sst>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May%2009\6-09%20Monthly%20GCR%20Estimated%20Basis%205%20Day%20NYMEX%2005-15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I File"/>
      <sheetName val="Sched I Work"/>
      <sheetName val="Sched 1A File"/>
      <sheetName val="Sched IA Work"/>
      <sheetName val="Sched I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-185.60999999999996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-246.18000000000004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May 29, 2009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COLUMBIA GAS TRANSMISSION CORPORATION</v>
          </cell>
          <cell r="Y7">
            <v>-252310.2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2010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COLUMBIA GULF TRANSMISSION COMPANY</v>
          </cell>
          <cell r="Y8">
            <v>-4618.02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Y9">
            <v>-273.09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39962</v>
          </cell>
          <cell r="E10">
            <v>39992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TRUNKLINE PIPELINE</v>
          </cell>
          <cell r="Y10">
            <v>-36.6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COLUMBIA GAS TRANSMISSION CORPORATION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  <cell r="AB15">
            <v>37029</v>
          </cell>
          <cell r="AC15">
            <v>0.1221</v>
          </cell>
          <cell r="AD15">
            <v>0.8629</v>
          </cell>
          <cell r="AE15">
            <v>0</v>
          </cell>
          <cell r="AF15">
            <v>13514945</v>
          </cell>
          <cell r="AG15">
            <v>95517615</v>
          </cell>
          <cell r="AH15">
            <v>0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  <cell r="AB16">
            <v>37119</v>
          </cell>
          <cell r="AC16">
            <v>0</v>
          </cell>
          <cell r="AD16">
            <v>-1.4316</v>
          </cell>
          <cell r="AE16">
            <v>-0.2334</v>
          </cell>
          <cell r="AF16">
            <v>0</v>
          </cell>
          <cell r="AG16">
            <v>-155251707</v>
          </cell>
          <cell r="AH16">
            <v>-1926733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  <cell r="AB17">
            <v>37209</v>
          </cell>
          <cell r="AC17">
            <v>-0.0029</v>
          </cell>
          <cell r="AD17">
            <v>-0.3525</v>
          </cell>
          <cell r="AE17">
            <v>-0.1199</v>
          </cell>
          <cell r="AF17">
            <v>-306462</v>
          </cell>
          <cell r="AG17">
            <v>-37683524</v>
          </cell>
          <cell r="AH17">
            <v>-5509291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  <cell r="AB18">
            <v>37299</v>
          </cell>
          <cell r="AC18">
            <v>0</v>
          </cell>
          <cell r="AD18">
            <v>0.6456</v>
          </cell>
          <cell r="AE18">
            <v>0.0644</v>
          </cell>
          <cell r="AF18">
            <v>0</v>
          </cell>
          <cell r="AG18">
            <v>68385012</v>
          </cell>
          <cell r="AH18">
            <v>2807549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  <cell r="AB19">
            <v>37389</v>
          </cell>
          <cell r="AC19">
            <v>0</v>
          </cell>
          <cell r="AD19">
            <v>0.5245</v>
          </cell>
          <cell r="AE19">
            <v>0.0732</v>
          </cell>
          <cell r="AF19">
            <v>0</v>
          </cell>
          <cell r="AG19">
            <v>49006257</v>
          </cell>
          <cell r="AH19">
            <v>667716</v>
          </cell>
        </row>
        <row r="20">
          <cell r="C20">
            <v>39506</v>
          </cell>
          <cell r="E20">
            <v>39836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AB20">
            <v>37479</v>
          </cell>
          <cell r="AC20">
            <v>0.2443</v>
          </cell>
          <cell r="AD20">
            <v>-0.454</v>
          </cell>
          <cell r="AE20">
            <v>0</v>
          </cell>
          <cell r="AF20">
            <v>21922788</v>
          </cell>
          <cell r="AG20">
            <v>-40748157</v>
          </cell>
          <cell r="AH20">
            <v>0</v>
          </cell>
        </row>
        <row r="21">
          <cell r="E21">
            <v>39836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AB21">
            <v>37569</v>
          </cell>
          <cell r="AC21">
            <v>-0.0007</v>
          </cell>
          <cell r="AD21">
            <v>0.3327</v>
          </cell>
          <cell r="AE21">
            <v>-0.7095</v>
          </cell>
          <cell r="AF21">
            <v>-63336</v>
          </cell>
          <cell r="AG21">
            <v>30604138</v>
          </cell>
          <cell r="AH21">
            <v>-23747097</v>
          </cell>
        </row>
        <row r="22">
          <cell r="C22">
            <v>39776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37659</v>
          </cell>
          <cell r="AC22">
            <v>-0.0409</v>
          </cell>
          <cell r="AD22">
            <v>0.4177</v>
          </cell>
          <cell r="AE22">
            <v>-0.1404</v>
          </cell>
          <cell r="AF22">
            <v>-3727781</v>
          </cell>
          <cell r="AG22">
            <v>38075617</v>
          </cell>
          <cell r="AH22">
            <v>-5598539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37749</v>
          </cell>
          <cell r="AC23">
            <v>-0.0024</v>
          </cell>
          <cell r="AD23">
            <v>0.4887</v>
          </cell>
          <cell r="AE23">
            <v>0.8922</v>
          </cell>
          <cell r="AF23">
            <v>-238864</v>
          </cell>
          <cell r="AG23">
            <v>49087527</v>
          </cell>
          <cell r="AH23">
            <v>10133076</v>
          </cell>
        </row>
        <row r="24">
          <cell r="C24">
            <v>39948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37839</v>
          </cell>
          <cell r="AC24">
            <v>-0.0146</v>
          </cell>
          <cell r="AD24">
            <v>-0.5758</v>
          </cell>
          <cell r="AE24">
            <v>-0.9805</v>
          </cell>
          <cell r="AF24">
            <v>-1565111</v>
          </cell>
          <cell r="AG24">
            <v>-61791287</v>
          </cell>
          <cell r="AH24">
            <v>-6316408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37929</v>
          </cell>
          <cell r="AC25">
            <v>0</v>
          </cell>
          <cell r="AD25">
            <v>-0.1409</v>
          </cell>
          <cell r="AE25">
            <v>0.1111</v>
          </cell>
          <cell r="AF25">
            <v>-1707</v>
          </cell>
          <cell r="AG25">
            <v>-14899115</v>
          </cell>
          <cell r="AH25">
            <v>4748055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38019</v>
          </cell>
          <cell r="AC26">
            <v>-0.002</v>
          </cell>
          <cell r="AD26">
            <v>0.5191</v>
          </cell>
          <cell r="AE26">
            <v>-0.0801</v>
          </cell>
          <cell r="AF26">
            <v>-212847</v>
          </cell>
          <cell r="AG26">
            <v>55512913</v>
          </cell>
          <cell r="AH26">
            <v>-3747807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38109</v>
          </cell>
          <cell r="AC27">
            <v>-0.0013</v>
          </cell>
          <cell r="AD27">
            <v>0.7576</v>
          </cell>
          <cell r="AE27">
            <v>-0.3107</v>
          </cell>
          <cell r="AF27">
            <v>-134555</v>
          </cell>
          <cell r="AG27">
            <v>81415576</v>
          </cell>
          <cell r="AH27">
            <v>-3247973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38200</v>
          </cell>
          <cell r="AC28">
            <v>-0.004</v>
          </cell>
          <cell r="AD28">
            <v>-0.6412</v>
          </cell>
          <cell r="AE28">
            <v>0.0597</v>
          </cell>
          <cell r="AF28">
            <v>-422112</v>
          </cell>
          <cell r="AG28">
            <v>-67093536</v>
          </cell>
          <cell r="AH28">
            <v>484117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38292</v>
          </cell>
          <cell r="AC29">
            <v>-0.0003</v>
          </cell>
          <cell r="AD29">
            <v>0.2551</v>
          </cell>
          <cell r="AE29">
            <v>0</v>
          </cell>
          <cell r="AF29">
            <v>-33747</v>
          </cell>
          <cell r="AG29">
            <v>24758388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38384</v>
          </cell>
          <cell r="AC30">
            <v>-0.0004</v>
          </cell>
          <cell r="AD30">
            <v>0.3116</v>
          </cell>
          <cell r="AE30">
            <v>0</v>
          </cell>
          <cell r="AF30">
            <v>-45089</v>
          </cell>
          <cell r="AG30">
            <v>31931474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38476</v>
          </cell>
          <cell r="AC31">
            <v>-0.0123</v>
          </cell>
          <cell r="AD31">
            <v>0.8729</v>
          </cell>
          <cell r="AE31">
            <v>0</v>
          </cell>
          <cell r="AF31">
            <v>-1264733</v>
          </cell>
          <cell r="AG31">
            <v>89852652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5.19</v>
          </cell>
          <cell r="AB32">
            <v>38568</v>
          </cell>
          <cell r="AC32">
            <v>-0.0147</v>
          </cell>
          <cell r="AD32">
            <v>-0.323</v>
          </cell>
          <cell r="AE32">
            <v>0</v>
          </cell>
          <cell r="AF32">
            <v>-1525842</v>
          </cell>
          <cell r="AG32">
            <v>-33428861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5.4</v>
          </cell>
          <cell r="AB33">
            <v>38660</v>
          </cell>
          <cell r="AC33">
            <v>0</v>
          </cell>
          <cell r="AD33">
            <v>-0.216</v>
          </cell>
          <cell r="AE33">
            <v>0</v>
          </cell>
          <cell r="AF33">
            <v>-1609</v>
          </cell>
          <cell r="AG33">
            <v>-21339689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4.23</v>
          </cell>
          <cell r="Z34" t="str">
            <v>Y</v>
          </cell>
          <cell r="AB34">
            <v>38752</v>
          </cell>
          <cell r="AC34">
            <v>0.0018</v>
          </cell>
          <cell r="AD34">
            <v>1.1954</v>
          </cell>
          <cell r="AE34">
            <v>0</v>
          </cell>
          <cell r="AF34">
            <v>178260</v>
          </cell>
          <cell r="AG34">
            <v>118914978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38844</v>
          </cell>
          <cell r="AC35">
            <v>-0.0048</v>
          </cell>
          <cell r="AD35">
            <v>0.5929</v>
          </cell>
          <cell r="AE35">
            <v>0</v>
          </cell>
          <cell r="AF35">
            <v>-437831</v>
          </cell>
          <cell r="AG35">
            <v>54571027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38936</v>
          </cell>
          <cell r="AC36">
            <v>-0.0048</v>
          </cell>
          <cell r="AD36">
            <v>-0.7782</v>
          </cell>
          <cell r="AE36">
            <v>0</v>
          </cell>
          <cell r="AF36">
            <v>-442739</v>
          </cell>
          <cell r="AG36">
            <v>-71737323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39028</v>
          </cell>
          <cell r="AC37">
            <v>0</v>
          </cell>
          <cell r="AD37">
            <v>-0.6903</v>
          </cell>
          <cell r="AE37">
            <v>0</v>
          </cell>
          <cell r="AF37">
            <v>0</v>
          </cell>
          <cell r="AG37">
            <v>-53523654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39120</v>
          </cell>
          <cell r="AC38">
            <v>0</v>
          </cell>
          <cell r="AD38">
            <v>0.4663</v>
          </cell>
          <cell r="AE38">
            <v>0</v>
          </cell>
          <cell r="AF38">
            <v>0</v>
          </cell>
          <cell r="AG38">
            <v>35594553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39212</v>
          </cell>
          <cell r="AC39">
            <v>0</v>
          </cell>
          <cell r="AD39">
            <v>1.338</v>
          </cell>
          <cell r="AE39">
            <v>0</v>
          </cell>
          <cell r="AF39">
            <v>0</v>
          </cell>
          <cell r="AG39">
            <v>96981561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39304</v>
          </cell>
          <cell r="AC40">
            <v>-0.0061</v>
          </cell>
          <cell r="AD40">
            <v>-0.2151</v>
          </cell>
          <cell r="AE40">
            <v>0</v>
          </cell>
          <cell r="AF40">
            <v>-444166</v>
          </cell>
          <cell r="AG40">
            <v>-15564996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39396</v>
          </cell>
          <cell r="AC41">
            <v>0</v>
          </cell>
          <cell r="AD41">
            <v>-0.9029</v>
          </cell>
          <cell r="AE41">
            <v>0</v>
          </cell>
          <cell r="AF41">
            <v>-1115</v>
          </cell>
          <cell r="AG41">
            <v>-68154398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39488</v>
          </cell>
          <cell r="AC42">
            <v>0</v>
          </cell>
          <cell r="AD42">
            <v>-0.2216</v>
          </cell>
          <cell r="AE42">
            <v>0</v>
          </cell>
          <cell r="AF42">
            <v>-2134</v>
          </cell>
          <cell r="AG42">
            <v>-16750281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39580</v>
          </cell>
          <cell r="AC43">
            <v>-0.0041</v>
          </cell>
          <cell r="AD43">
            <v>1.1752</v>
          </cell>
          <cell r="AE43">
            <v>0</v>
          </cell>
          <cell r="AF43">
            <v>-322633</v>
          </cell>
          <cell r="AG43">
            <v>92485895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39672</v>
          </cell>
          <cell r="AC44">
            <v>-0.0015</v>
          </cell>
          <cell r="AD44">
            <v>-0.6959</v>
          </cell>
          <cell r="AE44">
            <v>0</v>
          </cell>
          <cell r="AF44">
            <v>-112451</v>
          </cell>
          <cell r="AG44">
            <v>-51224976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39764</v>
          </cell>
          <cell r="AC45">
            <v>0</v>
          </cell>
          <cell r="AD45">
            <v>0.898</v>
          </cell>
          <cell r="AF45">
            <v>-1756</v>
          </cell>
          <cell r="AG45">
            <v>66814250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39856</v>
          </cell>
          <cell r="AC46">
            <v>-0.0001</v>
          </cell>
          <cell r="AD46">
            <v>-0.2374</v>
          </cell>
          <cell r="AF46">
            <v>-3947</v>
          </cell>
          <cell r="AG46">
            <v>-17657220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39962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</row>
        <row r="129">
          <cell r="G129">
            <v>39781</v>
          </cell>
          <cell r="H129">
            <v>716630.7</v>
          </cell>
          <cell r="J129">
            <v>39781</v>
          </cell>
          <cell r="K129">
            <v>5386264.3</v>
          </cell>
          <cell r="L129">
            <v>4887097</v>
          </cell>
        </row>
        <row r="130">
          <cell r="G130">
            <v>39812</v>
          </cell>
          <cell r="H130">
            <v>1546021.7</v>
          </cell>
          <cell r="J130">
            <v>39812</v>
          </cell>
          <cell r="K130">
            <v>10902127.3</v>
          </cell>
          <cell r="L130">
            <v>10318025</v>
          </cell>
        </row>
        <row r="131">
          <cell r="G131">
            <v>39843</v>
          </cell>
          <cell r="H131">
            <v>2070040.9</v>
          </cell>
          <cell r="J131">
            <v>39843</v>
          </cell>
          <cell r="K131">
            <v>14248624.1</v>
          </cell>
          <cell r="L131">
            <v>13524474</v>
          </cell>
        </row>
      </sheetData>
      <sheetData sheetId="2">
        <row r="9">
          <cell r="D9">
            <v>-0.0132</v>
          </cell>
        </row>
        <row r="30">
          <cell r="F30">
            <v>-0.0001</v>
          </cell>
        </row>
        <row r="31">
          <cell r="F31">
            <v>0</v>
          </cell>
        </row>
        <row r="32">
          <cell r="F32">
            <v>-0.0015</v>
          </cell>
        </row>
        <row r="38">
          <cell r="F38">
            <v>-0.2374</v>
          </cell>
        </row>
        <row r="39">
          <cell r="F39">
            <v>0.898</v>
          </cell>
        </row>
        <row r="40">
          <cell r="F40">
            <v>-0.6959</v>
          </cell>
        </row>
      </sheetData>
      <sheetData sheetId="6">
        <row r="39">
          <cell r="I39">
            <v>198346230</v>
          </cell>
        </row>
        <row r="44">
          <cell r="I44">
            <v>1199505</v>
          </cell>
        </row>
      </sheetData>
      <sheetData sheetId="13">
        <row r="43">
          <cell r="C43">
            <v>0</v>
          </cell>
        </row>
        <row r="45">
          <cell r="C45">
            <v>4270000</v>
          </cell>
        </row>
        <row r="46">
          <cell r="C46">
            <v>46246000</v>
          </cell>
        </row>
      </sheetData>
      <sheetData sheetId="14">
        <row r="24">
          <cell r="B24">
            <v>5386264.3</v>
          </cell>
          <cell r="D24">
            <v>716630.7</v>
          </cell>
        </row>
        <row r="25">
          <cell r="B25">
            <v>10902127.3</v>
          </cell>
          <cell r="D25">
            <v>1546021.7</v>
          </cell>
        </row>
        <row r="26">
          <cell r="B26">
            <v>14248624.1</v>
          </cell>
          <cell r="D26">
            <v>2070040.9</v>
          </cell>
        </row>
        <row r="51">
          <cell r="B51">
            <v>74496000</v>
          </cell>
          <cell r="D51">
            <v>10895000</v>
          </cell>
        </row>
        <row r="63">
          <cell r="E63">
            <v>0.65</v>
          </cell>
        </row>
      </sheetData>
      <sheetData sheetId="16">
        <row r="20">
          <cell r="B20">
            <v>38217000</v>
          </cell>
          <cell r="D20">
            <v>0</v>
          </cell>
          <cell r="F20">
            <v>957000</v>
          </cell>
        </row>
        <row r="21">
          <cell r="I21">
            <v>40182000</v>
          </cell>
          <cell r="J21">
            <v>38217000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1017000</v>
          </cell>
          <cell r="J38">
            <v>957000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0.341</v>
          </cell>
        </row>
        <row r="30">
          <cell r="A30" t="str">
            <v>TCRA Surcharge</v>
          </cell>
          <cell r="B30">
            <v>0.013</v>
          </cell>
        </row>
        <row r="31">
          <cell r="A31" t="str">
            <v>EPCA Current Rate</v>
          </cell>
          <cell r="B31">
            <v>0.042</v>
          </cell>
        </row>
        <row r="32">
          <cell r="A32" t="str">
            <v>EPCA Surcharge</v>
          </cell>
          <cell r="B32">
            <v>0.002</v>
          </cell>
        </row>
        <row r="37">
          <cell r="A37" t="str">
            <v>TOTAL</v>
          </cell>
          <cell r="B37">
            <v>5.84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0.341</v>
          </cell>
        </row>
        <row r="106">
          <cell r="A106" t="str">
            <v>TCRA Surcharge</v>
          </cell>
          <cell r="B106">
            <v>0.013</v>
          </cell>
        </row>
        <row r="107">
          <cell r="A107" t="str">
            <v>EPCA Current Rate</v>
          </cell>
          <cell r="B107">
            <v>0.042</v>
          </cell>
        </row>
        <row r="108">
          <cell r="A108" t="str">
            <v>EPCA Surcharge</v>
          </cell>
          <cell r="B108">
            <v>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6.01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5.84</v>
          </cell>
          <cell r="V2864">
            <v>8670612</v>
          </cell>
          <cell r="W2864">
            <v>50636374</v>
          </cell>
          <cell r="Z2864">
            <v>39904</v>
          </cell>
          <cell r="AA2864" t="str">
            <v>25, 28 &amp; 32</v>
          </cell>
          <cell r="AB2864" t="str">
            <v>Y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5.84</v>
          </cell>
          <cell r="V2865">
            <v>4335306</v>
          </cell>
          <cell r="W2865">
            <v>25318187</v>
          </cell>
          <cell r="AB2865" t="str">
            <v>Y</v>
          </cell>
        </row>
        <row r="2866">
          <cell r="S2866" t="str">
            <v>FTS</v>
          </cell>
          <cell r="T2866" t="str">
            <v>Reservation Charge</v>
          </cell>
          <cell r="U2866">
            <v>6.01</v>
          </cell>
          <cell r="V2866">
            <v>4561800</v>
          </cell>
          <cell r="W2866">
            <v>27416418</v>
          </cell>
          <cell r="AB2866" t="str">
            <v>Y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  <cell r="AB2867" t="str">
            <v>Y</v>
          </cell>
        </row>
        <row r="2868">
          <cell r="S2868" t="str">
            <v>FSS CAP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  <cell r="AB2868" t="str">
            <v>Y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39722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39867</v>
          </cell>
          <cell r="AA2882" t="str">
            <v>5, 9, 12, 14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39904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12.684</v>
          </cell>
          <cell r="V2901">
            <v>175000</v>
          </cell>
          <cell r="W2901">
            <v>2219700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  <cell r="Y2902" t="str">
            <v>Y</v>
          </cell>
        </row>
        <row r="2903">
          <cell r="S2903" t="str">
            <v>FT</v>
          </cell>
          <cell r="T2903">
            <v>0</v>
          </cell>
          <cell r="U2903">
            <v>11.923</v>
          </cell>
          <cell r="V2903">
            <v>30000</v>
          </cell>
          <cell r="W2903">
            <v>357690</v>
          </cell>
          <cell r="Y2903" t="str">
            <v>Y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1862335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16865379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39504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39535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39565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39595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39625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39655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39685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39715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39745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A141">
            <v>39775</v>
          </cell>
          <cell r="B141">
            <v>105281313.91</v>
          </cell>
          <cell r="C141">
            <v>11724803</v>
          </cell>
          <cell r="D141">
            <v>1715822</v>
          </cell>
          <cell r="E141">
            <v>1784455</v>
          </cell>
          <cell r="H141">
            <v>31122</v>
          </cell>
          <cell r="I141">
            <v>31122</v>
          </cell>
          <cell r="X141">
            <v>466313</v>
          </cell>
          <cell r="Y141">
            <v>441378</v>
          </cell>
          <cell r="Z141">
            <v>458283</v>
          </cell>
          <cell r="AA141">
            <v>9511546</v>
          </cell>
          <cell r="AB141">
            <v>9874801</v>
          </cell>
        </row>
        <row r="142">
          <cell r="A142">
            <v>39805</v>
          </cell>
          <cell r="B142">
            <v>145152850.77</v>
          </cell>
          <cell r="C142">
            <v>15689797</v>
          </cell>
          <cell r="D142">
            <v>9686491</v>
          </cell>
          <cell r="E142">
            <v>10073951</v>
          </cell>
          <cell r="H142">
            <v>340927</v>
          </cell>
          <cell r="I142">
            <v>340927</v>
          </cell>
          <cell r="X142">
            <v>626707</v>
          </cell>
          <cell r="Y142">
            <v>604681</v>
          </cell>
          <cell r="Z142">
            <v>627478</v>
          </cell>
          <cell r="AA142">
            <v>5035672</v>
          </cell>
          <cell r="AB142">
            <v>5225923</v>
          </cell>
        </row>
        <row r="143">
          <cell r="A143">
            <v>39835</v>
          </cell>
          <cell r="B143">
            <v>150198894.83</v>
          </cell>
          <cell r="C143">
            <v>20590673</v>
          </cell>
          <cell r="D143">
            <v>17473076</v>
          </cell>
          <cell r="E143">
            <v>18171999</v>
          </cell>
          <cell r="H143">
            <v>455354</v>
          </cell>
          <cell r="I143">
            <v>455354</v>
          </cell>
          <cell r="X143">
            <v>656929</v>
          </cell>
          <cell r="Y143">
            <v>635746</v>
          </cell>
          <cell r="Z143">
            <v>660477</v>
          </cell>
          <cell r="AA143">
            <v>2005314</v>
          </cell>
          <cell r="AB143">
            <v>2083624</v>
          </cell>
        </row>
        <row r="144">
          <cell r="D144" t="str">
            <v>ACTUAL INJECTION VOLUMES</v>
          </cell>
          <cell r="J144" t="str">
            <v>ACTUAL INJECTION VOLUMES</v>
          </cell>
          <cell r="P144" t="str">
            <v>ACTUAL INJECTION VOLUMES</v>
          </cell>
          <cell r="V144" t="str">
            <v>ACTUAL INJECTION VOLUMES</v>
          </cell>
        </row>
        <row r="145">
          <cell r="D145" t="str">
            <v>TCO</v>
          </cell>
          <cell r="F145" t="str">
            <v>CGT</v>
          </cell>
          <cell r="H145" t="str">
            <v>PEPL</v>
          </cell>
          <cell r="J145" t="str">
            <v>ANR</v>
          </cell>
          <cell r="L145" t="str">
            <v>CNG</v>
          </cell>
          <cell r="N145" t="str">
            <v>TENN</v>
          </cell>
          <cell r="P145" t="str">
            <v>TETCO</v>
          </cell>
          <cell r="R145" t="str">
            <v>CARNEGIE</v>
          </cell>
          <cell r="T145" t="str">
            <v>FIRM</v>
          </cell>
          <cell r="V145" t="str">
            <v>COVE (CVP)</v>
          </cell>
          <cell r="X145" t="str">
            <v>LOCAL</v>
          </cell>
          <cell r="AA145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  <row r="116">
          <cell r="A116">
            <v>39781</v>
          </cell>
          <cell r="J116">
            <v>-30248.41</v>
          </cell>
          <cell r="L116">
            <v>-2731.68</v>
          </cell>
          <cell r="M116">
            <v>-11420.23</v>
          </cell>
          <cell r="P116">
            <v>-80517.19</v>
          </cell>
          <cell r="R116">
            <v>51557</v>
          </cell>
        </row>
        <row r="117">
          <cell r="A117">
            <v>39812</v>
          </cell>
          <cell r="J117">
            <v>-63584.44</v>
          </cell>
          <cell r="L117">
            <v>-6859.13</v>
          </cell>
          <cell r="M117">
            <v>-11490.82</v>
          </cell>
          <cell r="P117">
            <v>-142701.28</v>
          </cell>
          <cell r="R117">
            <v>59698</v>
          </cell>
        </row>
        <row r="118">
          <cell r="A118">
            <v>39843</v>
          </cell>
          <cell r="J118">
            <v>-118772.67</v>
          </cell>
          <cell r="L118">
            <v>-49245.42</v>
          </cell>
          <cell r="M118">
            <v>-11152.52</v>
          </cell>
          <cell r="P118">
            <v>-220888.95</v>
          </cell>
          <cell r="R118">
            <v>74240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6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</row>
    <row r="8" spans="2:14" ht="12.75" customHeight="1">
      <c r="B8" s="4" t="s">
        <v>7</v>
      </c>
      <c r="D8" s="14">
        <f>F8</f>
        <v>6.430400000000001</v>
      </c>
      <c r="E8" s="15" t="s">
        <v>8</v>
      </c>
      <c r="F8" s="16">
        <f>F25</f>
        <v>6.430400000000001</v>
      </c>
      <c r="H8" s="181"/>
      <c r="I8" s="181"/>
      <c r="J8" s="181"/>
      <c r="N8" s="17"/>
    </row>
    <row r="9" spans="2:14" ht="12.75" customHeight="1">
      <c r="B9" s="4" t="s">
        <v>9</v>
      </c>
      <c r="D9" s="14">
        <f>+'[1]Summ Work'!D9</f>
        <v>-0.0132</v>
      </c>
      <c r="E9" s="15"/>
      <c r="F9" s="16"/>
      <c r="H9" s="181"/>
      <c r="I9" s="181"/>
      <c r="J9" s="181"/>
      <c r="N9" s="17"/>
    </row>
    <row r="10" spans="2:10" ht="12.75" customHeight="1">
      <c r="B10" s="4" t="s">
        <v>10</v>
      </c>
      <c r="D10" s="14"/>
      <c r="E10" s="15" t="s">
        <v>8</v>
      </c>
      <c r="F10" s="16">
        <f>F33</f>
        <v>-0.0052</v>
      </c>
      <c r="H10" s="181"/>
      <c r="I10" s="182"/>
      <c r="J10" s="181"/>
    </row>
    <row r="11" spans="2:10" ht="12.75" customHeight="1" thickBot="1">
      <c r="B11" s="4" t="s">
        <v>11</v>
      </c>
      <c r="D11" s="14"/>
      <c r="E11" s="15" t="s">
        <v>8</v>
      </c>
      <c r="F11" s="16">
        <f>F41</f>
        <v>0.8797000000000001</v>
      </c>
      <c r="H11" s="181"/>
      <c r="I11" s="181"/>
      <c r="J11" s="181"/>
    </row>
    <row r="12" spans="1:10" ht="12.75" customHeight="1" thickBot="1">
      <c r="A12" s="4" t="s">
        <v>12</v>
      </c>
      <c r="D12" s="18">
        <f>SUM(D8:D11)</f>
        <v>6.4172</v>
      </c>
      <c r="E12" s="15" t="s">
        <v>8</v>
      </c>
      <c r="F12" s="18">
        <f>SUM(F8:F11)</f>
        <v>7.3049</v>
      </c>
      <c r="H12" s="181"/>
      <c r="I12" s="181"/>
      <c r="J12" s="181"/>
    </row>
    <row r="13" spans="8:10" ht="12.75" customHeight="1">
      <c r="H13" s="181"/>
      <c r="I13" s="183"/>
      <c r="J13" s="181"/>
    </row>
    <row r="14" spans="2:10" ht="12.75" customHeight="1">
      <c r="B14" s="15" t="s">
        <v>13</v>
      </c>
      <c r="C14" s="15"/>
      <c r="D14" s="20">
        <f>'[1]Instruct &amp; Input'!C52</f>
        <v>39962</v>
      </c>
      <c r="E14" s="15" t="s">
        <v>14</v>
      </c>
      <c r="F14" s="21">
        <f>'[1]Instruct &amp; Input'!E10</f>
        <v>39992</v>
      </c>
      <c r="H14" s="181"/>
      <c r="I14" s="181"/>
      <c r="J14" s="181"/>
    </row>
    <row r="15" spans="8:10" ht="12.75" customHeight="1">
      <c r="H15" s="181"/>
      <c r="I15" s="181"/>
      <c r="J15" s="181"/>
    </row>
    <row r="16" spans="1:10" ht="12.75" customHeight="1">
      <c r="A16" s="9" t="s">
        <v>15</v>
      </c>
      <c r="B16" s="9"/>
      <c r="C16" s="9"/>
      <c r="D16" s="9"/>
      <c r="E16" s="9"/>
      <c r="F16" s="22"/>
      <c r="H16" s="181"/>
      <c r="I16" s="181"/>
      <c r="J16" s="181"/>
    </row>
    <row r="17" spans="1:10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81"/>
      <c r="I17" s="184"/>
      <c r="J17" s="181"/>
    </row>
    <row r="18" spans="2:10" ht="12.75" customHeight="1">
      <c r="B18" s="4" t="s">
        <v>16</v>
      </c>
      <c r="E18" s="15" t="s">
        <v>17</v>
      </c>
      <c r="F18" s="23">
        <f>'Sched I File'!D42</f>
        <v>125835371</v>
      </c>
      <c r="H18" s="181"/>
      <c r="I18" s="181"/>
      <c r="J18" s="181"/>
    </row>
    <row r="19" spans="2:10" ht="12.75" customHeight="1">
      <c r="B19" s="4" t="s">
        <v>18</v>
      </c>
      <c r="E19" s="15" t="s">
        <v>19</v>
      </c>
      <c r="F19" s="24">
        <f>('[1]Sales &amp; CHOICE Volumes'!B51)+('[1]Sales &amp; CHOICE Volumes'!D51)</f>
        <v>85391000</v>
      </c>
      <c r="H19" s="181"/>
      <c r="I19" s="184"/>
      <c r="J19" s="181"/>
    </row>
    <row r="20" spans="2:10" ht="12.75" customHeight="1">
      <c r="B20" s="4" t="s">
        <v>20</v>
      </c>
      <c r="E20" s="15" t="s">
        <v>8</v>
      </c>
      <c r="F20" s="25">
        <f>ROUND(F18/F19,4)</f>
        <v>1.4736</v>
      </c>
      <c r="H20" s="181"/>
      <c r="I20" s="184"/>
      <c r="J20" s="181"/>
    </row>
    <row r="21" spans="2:6" ht="12.75" customHeight="1">
      <c r="B21" s="4" t="s">
        <v>21</v>
      </c>
      <c r="E21" s="15" t="s">
        <v>17</v>
      </c>
      <c r="F21" s="23">
        <f>SUM('Sched I File'!E42:F42)</f>
        <v>423267145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85391000</v>
      </c>
    </row>
    <row r="23" spans="2:6" ht="12.75" customHeight="1">
      <c r="B23" s="4" t="s">
        <v>23</v>
      </c>
      <c r="E23" s="15" t="s">
        <v>8</v>
      </c>
      <c r="F23" s="25">
        <f>ROUND(F21/F22,4)</f>
        <v>4.9568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6.430400000000001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-0.0036</v>
      </c>
    </row>
    <row r="30" spans="2:6" ht="12.75" customHeight="1">
      <c r="B30" s="4" t="s">
        <v>27</v>
      </c>
      <c r="E30" s="15" t="s">
        <v>8</v>
      </c>
      <c r="F30" s="28">
        <f>'[1]Summ Work'!F30</f>
        <v>-0.0001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-0.0015</v>
      </c>
    </row>
    <row r="33" spans="1:6" ht="12.75" customHeight="1">
      <c r="A33" s="4" t="s">
        <v>10</v>
      </c>
      <c r="E33" s="15" t="s">
        <v>8</v>
      </c>
      <c r="F33" s="27">
        <f>SUM(F29:F32)</f>
        <v>-0.0052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0.915</v>
      </c>
    </row>
    <row r="38" spans="2:6" ht="12.75" customHeight="1">
      <c r="B38" s="4" t="s">
        <v>32</v>
      </c>
      <c r="E38" s="15" t="s">
        <v>8</v>
      </c>
      <c r="F38" s="28">
        <f>'[1]Summ Work'!F38</f>
        <v>-0.2374</v>
      </c>
    </row>
    <row r="39" spans="2:6" ht="12.75" customHeight="1">
      <c r="B39" s="4" t="s">
        <v>33</v>
      </c>
      <c r="E39" s="15" t="s">
        <v>8</v>
      </c>
      <c r="F39" s="28">
        <f>'[1]Summ Work'!F39</f>
        <v>0.898</v>
      </c>
    </row>
    <row r="40" spans="2:6" ht="12.75" customHeight="1">
      <c r="B40" s="4" t="s">
        <v>34</v>
      </c>
      <c r="E40" s="15" t="s">
        <v>8</v>
      </c>
      <c r="F40" s="28">
        <f>'[1]Summ Work'!F40</f>
        <v>-0.6959</v>
      </c>
    </row>
    <row r="41" spans="1:6" ht="12.75" customHeight="1">
      <c r="A41" s="4" t="s">
        <v>11</v>
      </c>
      <c r="E41" s="15" t="s">
        <v>8</v>
      </c>
      <c r="F41" s="27">
        <f>SUM(F37:F40)</f>
        <v>0.8797000000000001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39948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3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May 29, 2009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2010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157366776</v>
      </c>
      <c r="E17" s="47">
        <f>'[1]Sched IA Work'!I39</f>
        <v>198346230</v>
      </c>
      <c r="F17" s="47">
        <f>'[1]Sched IA Work'!I44</f>
        <v>1199505</v>
      </c>
      <c r="G17" s="47">
        <f aca="true" t="shared" si="0" ref="G17:G27">SUM(D17:F17)</f>
        <v>356912511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4966830</v>
      </c>
      <c r="F19" s="47">
        <f>'Sched 1A File'!I189</f>
        <v>76000</v>
      </c>
      <c r="G19" s="47">
        <f t="shared" si="0"/>
        <v>7460230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1234220</v>
      </c>
      <c r="E20" s="47">
        <f>'Sched 1A File'!I269</f>
        <v>0</v>
      </c>
      <c r="F20" s="47">
        <f>'Sched 1A File'!I274</f>
        <v>0</v>
      </c>
      <c r="G20" s="47">
        <f t="shared" si="0"/>
        <v>1234220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1862335</v>
      </c>
      <c r="E25" s="47">
        <f>'Sched 1A File'!I534</f>
        <v>0</v>
      </c>
      <c r="F25" s="47">
        <f>'Sched 1A File'!I539</f>
        <v>0</v>
      </c>
      <c r="G25" s="47">
        <f t="shared" si="0"/>
        <v>1862335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16865379</v>
      </c>
      <c r="E27" s="47">
        <f>'Sched 1A File'!I640</f>
        <v>0</v>
      </c>
      <c r="F27" s="47">
        <f>'Sched 1A File'!K645</f>
        <v>0</v>
      </c>
      <c r="G27" s="48">
        <f t="shared" si="0"/>
        <v>16865379</v>
      </c>
    </row>
    <row r="28" spans="1:7" ht="12.75" customHeight="1" thickBot="1">
      <c r="A28" s="49"/>
      <c r="B28" s="50" t="s">
        <v>54</v>
      </c>
      <c r="C28" s="51"/>
      <c r="D28" s="52">
        <f>SUM(D17:D27)</f>
        <v>193592878</v>
      </c>
      <c r="E28" s="52">
        <f>SUM(E17:E27)</f>
        <v>203313060</v>
      </c>
      <c r="F28" s="52">
        <f>SUM(F17:F27)</f>
        <v>1275505</v>
      </c>
      <c r="G28" s="52">
        <f>SUM(G17:G27)</f>
        <v>398181443</v>
      </c>
    </row>
    <row r="29" spans="1:7" ht="12.75" customHeight="1">
      <c r="A29" s="45"/>
      <c r="B29" s="46"/>
      <c r="C29" s="42" t="s">
        <v>55</v>
      </c>
      <c r="D29" s="53">
        <f>'[1]Sales &amp; CHOICE Volumes'!E63</f>
        <v>0.65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125835371</v>
      </c>
      <c r="E30" s="47">
        <f>E28</f>
        <v>203313060</v>
      </c>
      <c r="F30" s="47">
        <f>F28</f>
        <v>1275505</v>
      </c>
      <c r="G30" s="47">
        <f>SUM(D30:F30)</f>
        <v>330423936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IB File'!E30</f>
        <v>23058000</v>
      </c>
      <c r="F36" s="52">
        <v>0</v>
      </c>
      <c r="G36" s="52">
        <f>SUM(D36:F36)</f>
        <v>23058000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IB File'!E46</f>
        <v>195620580</v>
      </c>
      <c r="F40" s="54">
        <v>0</v>
      </c>
      <c r="G40" s="54">
        <f>SUM(D40:F40)</f>
        <v>195620580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125835371</v>
      </c>
      <c r="E42" s="52">
        <f>SUM(E30:E40)</f>
        <v>421991640</v>
      </c>
      <c r="F42" s="52">
        <f>SUM(F30:F40)</f>
        <v>1275505</v>
      </c>
      <c r="G42" s="52">
        <f>SUM(G30:G40)</f>
        <v>549102516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549102516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562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May 29, 2009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2010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39904</v>
      </c>
      <c r="H14" s="32" t="s">
        <v>81</v>
      </c>
      <c r="I14" s="65" t="str">
        <f>IF(ISBLANK('[1]Demand'!AA2864)," ",'[1]Demand'!AA2864)</f>
        <v>25, 28 &amp; 32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*</v>
      </c>
      <c r="E25" s="76">
        <f>IF(AND(ISBLANK('[1]Demand'!Y2864),'[1]Demand'!U2864&gt;0),'[1]Demand'!U2864," ")</f>
        <v>5.84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50636374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*</v>
      </c>
      <c r="E26" s="76">
        <f>IF(AND(ISBLANK('[1]Demand'!Y2865),'[1]Demand'!U2865&gt;0),'[1]Demand'!U2865," ")</f>
        <v>5.84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25318187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*</v>
      </c>
      <c r="E27" s="76">
        <f>IF(AND(ISBLANK('[1]Demand'!Y2866),'[1]Demand'!U2866&gt;0),'[1]Demand'!U2866," ")</f>
        <v>6.01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27416418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*</v>
      </c>
      <c r="E28" s="76">
        <f>IF(AND(ISBLANK('[1]Demand'!Y2867),'[1]Demand'!U2867&gt;0),'[1]Demand'!U2867," ")</f>
        <v>1.505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26098542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*</v>
      </c>
      <c r="E29" s="76">
        <f>IF(AND(ISBLANK('[1]Demand'!Y2868),'[1]Demand'!U2868&gt;0),'[1]Demand'!U2868," ")</f>
        <v>0.0289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27897255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157366776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5.19</v>
      </c>
      <c r="G38" s="66">
        <f>'[1]Estimates'!B20</f>
        <v>38217000</v>
      </c>
      <c r="I38" s="92">
        <f>ROUND(G38*E38,0)</f>
        <v>198346230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198346230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40182000</v>
      </c>
      <c r="I42" s="57">
        <f>ROUND(G42*E42,0)</f>
        <v>614785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38217000</v>
      </c>
      <c r="I43" s="92">
        <f>ROUND(G43*E43,0)</f>
        <v>584720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1199505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356912511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May 29, 2009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5.442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0.341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0.013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0.042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5.84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5.612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0.341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0.013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0.042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6.01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May 29, 2009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2010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39722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May 29, 2009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2010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39867</v>
      </c>
      <c r="H157" s="32" t="s">
        <v>81</v>
      </c>
      <c r="I157" s="112" t="str">
        <f>IF(ISBLANK('[1]Demand'!AA2882)," ",'[1]Demand'!AA2882)</f>
        <v>5, 9, 12, 14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5.19</v>
      </c>
      <c r="G181" s="66">
        <f>'[1]Estimates'!D20+'[1]Estimates'!F20</f>
        <v>957000</v>
      </c>
      <c r="I181" s="92">
        <f>ROUND(G181*E181,0)</f>
        <v>4966830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4966830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1017000</v>
      </c>
      <c r="I185" s="57">
        <f>ROUND(G185*E185,0)</f>
        <v>39155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957000</v>
      </c>
      <c r="I186" s="57">
        <f>ROUND(G186*E186,0)</f>
        <v>36845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76000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7460230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May 29, 2009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May 29, 2009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2010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39904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371328</v>
      </c>
      <c r="H255" s="46"/>
      <c r="I255" s="78">
        <f>IF(AND(ISBLANK('[1]Demand'!Y2892),'[1]Demand'!W2892&gt;0),'[1]Demand'!W2892," ")</f>
        <v>1234220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1234220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1234220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May 29, 2009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2010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May 29, 2009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2010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May 29, 2009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2010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May 29, 2009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2010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May 29, 2009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2010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1862335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1862335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1862335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May 29, 2009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2010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5.19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May 29, 2009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2010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16865379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16865379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16865379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9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May 29, 2009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2010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5.4</v>
      </c>
      <c r="D25" s="122">
        <f>'[1]Volume Mix'!C45</f>
        <v>4270000</v>
      </c>
      <c r="E25" s="47">
        <f>ROUND(C25*D25,0)</f>
        <v>23058000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23058000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4.23</v>
      </c>
      <c r="D41" s="122">
        <f>'[1]Volume Mix'!C46+'[1]Volume Mix'!C43</f>
        <v>46246000</v>
      </c>
      <c r="E41" s="47">
        <f>ROUND(C41*D41,0)</f>
        <v>195620580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195620580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22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2010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2010</v>
      </c>
      <c r="D13" s="80" t="s">
        <v>19</v>
      </c>
      <c r="E13" s="47">
        <f>('[1]Sales &amp; CHOICE Volumes'!B51)</f>
        <v>74496000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2010</v>
      </c>
      <c r="D15" s="80" t="s">
        <v>19</v>
      </c>
      <c r="E15" s="60">
        <f>E13</f>
        <v>74496000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-257669.7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-257670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-257670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-271842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2010</v>
      </c>
      <c r="D31" s="80" t="s">
        <v>19</v>
      </c>
      <c r="E31" s="130">
        <f>E13</f>
        <v>74496000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-0.0036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39836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-185.60999999999996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>
        <f>IF('[1]Instruct &amp; Input'!Y6=0," ",'[1]Instruct &amp; Input'!Y6)</f>
        <v>-246.18000000000004</v>
      </c>
    </row>
    <row r="46" spans="1:5" ht="12.75" customHeight="1">
      <c r="A46" s="45"/>
      <c r="B46" s="47" t="str">
        <f>IF('[1]Instruct &amp; Input'!V7=0," ",'[1]Instruct &amp; Input'!V7)</f>
        <v>COLUMBIA GAS TRANSMISSION CORPORATION</v>
      </c>
      <c r="D46" s="80"/>
      <c r="E46" s="47">
        <f>IF('[1]Instruct &amp; Input'!Y7=0," ",'[1]Instruct &amp; Input'!Y7)</f>
        <v>-252310.2</v>
      </c>
    </row>
    <row r="47" spans="1:5" ht="12.75" customHeight="1">
      <c r="A47" s="45"/>
      <c r="B47" s="47" t="str">
        <f>IF('[1]Instruct &amp; Input'!V8=0," ",'[1]Instruct &amp; Input'!V8)</f>
        <v>COLUMBIA GULF TRANSMISSION COMPANY</v>
      </c>
      <c r="D47" s="80"/>
      <c r="E47" s="47">
        <f>IF('[1]Instruct &amp; Input'!Y8=0," ",'[1]Instruct &amp; Input'!Y8)</f>
        <v>-4618.02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>
        <f>IF('[1]Instruct &amp; Input'!Y9=0," ",'[1]Instruct &amp; Input'!Y9)</f>
        <v>-273.09</v>
      </c>
    </row>
    <row r="49" spans="1:5" ht="12.75" customHeight="1">
      <c r="A49" s="45"/>
      <c r="B49" s="47" t="str">
        <f>IF('[1]Instruct &amp; Input'!V10=0," ",'[1]Instruct &amp; Input'!V10)</f>
        <v>TRUNKLINE PIPELINE</v>
      </c>
      <c r="D49" s="80"/>
      <c r="E49" s="47">
        <f>IF('[1]Instruct &amp; Input'!Y10=0," ",'[1]Instruct &amp; Input'!Y10)</f>
        <v>-36.6</v>
      </c>
    </row>
    <row r="50" spans="1:5" ht="12.75" customHeight="1">
      <c r="A50" s="45"/>
      <c r="B50" s="47" t="str">
        <f>IF('[1]Instruct &amp; Input'!V11=0," ",'[1]Instruct &amp; Input'!V11)</f>
        <v>COLUMBIA GAS TRANSMISSION CORPORATION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-257669.7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25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39836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E8-55</f>
        <v>39781</v>
      </c>
      <c r="E11" s="136">
        <f>E8-24</f>
        <v>39812</v>
      </c>
      <c r="F11" s="136">
        <f>E8+7</f>
        <v>39843</v>
      </c>
      <c r="H11" s="137">
        <f>F11-90</f>
        <v>39753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11724803</v>
      </c>
      <c r="E13" s="122">
        <f>VLOOKUP(E11,ACTUALS,3)</f>
        <v>15689797</v>
      </c>
      <c r="F13" s="122">
        <f>VLOOKUP(F11,ACTUALS,3)</f>
        <v>20590673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11724803</v>
      </c>
      <c r="E16" s="139">
        <f>SUM(E13:E15)</f>
        <v>15689797</v>
      </c>
      <c r="F16" s="139">
        <f>SUM(F13:F15)</f>
        <v>20590673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105281313.91</v>
      </c>
      <c r="E19" s="122">
        <f>VLOOKUP(E11,ACTUALS,2)</f>
        <v>145152850.77</v>
      </c>
      <c r="F19" s="122">
        <f>VLOOKUP(F11,ACTUALS,2)</f>
        <v>150198894.83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-80517.19</v>
      </c>
      <c r="E20" s="122">
        <f>VLOOKUP(E11,TABLE242,16)</f>
        <v>-142701.28</v>
      </c>
      <c r="F20" s="122">
        <f>VLOOKUP(F11,TABLE242,16)</f>
        <v>-220888.95</v>
      </c>
      <c r="G20" s="140" t="s">
        <v>189</v>
      </c>
      <c r="H20" s="55">
        <f>(VLOOKUP(H11,TABLE242,8)-VLOOKUP(F11,TABLE242,8))+SUM(D20:F20)</f>
        <v>-444107.42000000004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-30248.41</v>
      </c>
      <c r="E21" s="122">
        <f>VLOOKUP(E11,TABLE242,10)</f>
        <v>-63584.44</v>
      </c>
      <c r="F21" s="122">
        <f>VLOOKUP(F11,TABLE242,10)</f>
        <v>-118772.67</v>
      </c>
      <c r="G21" s="140" t="s">
        <v>189</v>
      </c>
      <c r="H21" s="55">
        <f>(VLOOKUP(H11,TABLE242,2)-VLOOKUP(F11,TABLE242,2))+SUM(D21:F21)</f>
        <v>-212605.52000000002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-2731.68</v>
      </c>
      <c r="E23" s="122">
        <f>VLOOKUP(E11,TABLE242,12)</f>
        <v>-6859.13</v>
      </c>
      <c r="F23" s="122">
        <f>VLOOKUP(F11,TABLE242,12)</f>
        <v>-49245.42</v>
      </c>
      <c r="G23" s="140" t="s">
        <v>189</v>
      </c>
      <c r="H23" s="55">
        <f>(VLOOKUP(H11,TABLE242,4)-VLOOKUP(F11,TABLE242,4))+SUM(D23:F23)</f>
        <v>-58836.229999999996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-11420.23</v>
      </c>
      <c r="E24" s="122">
        <f>VLOOKUP(E11,TABLE242,13)</f>
        <v>-11490.82</v>
      </c>
      <c r="F24" s="122">
        <f>VLOOKUP(F11,TABLE242,13)</f>
        <v>-11152.52</v>
      </c>
      <c r="G24" s="140" t="s">
        <v>189</v>
      </c>
      <c r="H24" s="55">
        <f>(VLOOKUP(H11,TABLE242,5)-VLOOKUP(F11,TABLE242,5))+SUM(D24:F24)</f>
        <v>-34063.57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105156396.39999999</v>
      </c>
      <c r="E27" s="139">
        <f>SUM(E19:E26)</f>
        <v>144928215.10000002</v>
      </c>
      <c r="F27" s="139">
        <f>SUM(F19:F26)</f>
        <v>149798835.27000004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6102895</v>
      </c>
      <c r="E28" s="47">
        <f>'[1]Sales &amp; CHOICE Volumes'!B25+'[1]Sales &amp; CHOICE Volumes'!D25</f>
        <v>12448149</v>
      </c>
      <c r="F28" s="47">
        <f>'[1]Sales &amp; CHOICE Volumes'!B26+'[1]Sales &amp; CHOICE Volumes'!D26</f>
        <v>16318665</v>
      </c>
    </row>
    <row r="29" spans="1:6" ht="12.75" customHeight="1">
      <c r="A29" s="45" t="s">
        <v>199</v>
      </c>
      <c r="C29" s="80" t="s">
        <v>8</v>
      </c>
      <c r="D29" s="141">
        <f>ROUND(D27/D28,4)</f>
        <v>17.2306</v>
      </c>
      <c r="E29" s="141">
        <f>ROUND(E27/E28,4)</f>
        <v>11.6426</v>
      </c>
      <c r="F29" s="141">
        <f>ROUND(F27/F28,4)</f>
        <v>9.1796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10.7837</v>
      </c>
      <c r="E32" s="142">
        <v>10.7791</v>
      </c>
      <c r="F32" s="142">
        <v>8.2766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5386264.3</v>
      </c>
      <c r="E33" s="143">
        <f>VLOOKUP(E11,ADJUSTTABLE,2)</f>
        <v>10902127.3</v>
      </c>
      <c r="F33" s="143">
        <f>VLOOKUP(F11,ADJUSTTABLE,2)</f>
        <v>14248624.1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58083858</v>
      </c>
      <c r="E34" s="47">
        <f>ROUND(E32*E33,0)</f>
        <v>117515120</v>
      </c>
      <c r="F34" s="47">
        <f>ROUND(F32*F33,0)</f>
        <v>117930162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Work'!D9-0.0469</f>
        <v>10.7236</v>
      </c>
      <c r="E36" s="142">
        <f>E32+'[1]Summ Work'!D9-0.0469</f>
        <v>10.719</v>
      </c>
      <c r="F36" s="142">
        <f>F32+'[1]Summ Work'!D9-0.0469</f>
        <v>8.2165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716630.7</v>
      </c>
      <c r="E37" s="143">
        <f>VLOOKUP(E11,PIPTABLE,2)</f>
        <v>1546021.7</v>
      </c>
      <c r="F37" s="143">
        <f>VLOOKUP(F11,PIPTABLE,2)</f>
        <v>2070040.9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60">
        <f>ROUND(D37*D36,0)</f>
        <v>7684861</v>
      </c>
      <c r="E38" s="60">
        <f>ROUND(E37*E36,0)</f>
        <v>16571807</v>
      </c>
      <c r="F38" s="60">
        <f>ROUND(F37*F36,0)</f>
        <v>17008491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209</v>
      </c>
      <c r="C40" s="80" t="s">
        <v>17</v>
      </c>
      <c r="D40" s="144">
        <f>SUM(D38+D34)</f>
        <v>65768719</v>
      </c>
      <c r="E40" s="144">
        <f>SUM(E38+E34)</f>
        <v>134086927</v>
      </c>
      <c r="F40" s="144">
        <f>SUM(F38+F34)</f>
        <v>134938653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210</v>
      </c>
      <c r="C42" s="80" t="s">
        <v>17</v>
      </c>
      <c r="D42" s="144">
        <f>SUM(D27-D40)</f>
        <v>39387677.39999999</v>
      </c>
      <c r="E42" s="144">
        <f>SUM(E27-E40)</f>
        <v>10841288.100000024</v>
      </c>
      <c r="F42" s="144">
        <f>SUM(F27-F40)</f>
        <v>14860182.27000004</v>
      </c>
    </row>
    <row r="43" spans="1:6" ht="12.75" customHeight="1">
      <c r="A43" s="45" t="s">
        <v>211</v>
      </c>
      <c r="C43" s="67"/>
      <c r="D43" s="145"/>
      <c r="E43" s="145"/>
      <c r="F43" s="146">
        <f>-122118.13+61536.11+259162.63+219682.71+288848.73+1669388.44+807415.15</f>
        <v>3183915.6399999997</v>
      </c>
    </row>
    <row r="44" spans="1:6" ht="12.75" customHeight="1">
      <c r="A44" s="147" t="s">
        <v>212</v>
      </c>
      <c r="B44" s="8"/>
      <c r="C44" s="12" t="s">
        <v>17</v>
      </c>
      <c r="D44" s="8"/>
      <c r="E44" s="8"/>
      <c r="F44" s="139">
        <f>'Sched 4 File'!E49</f>
        <v>-108450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4">
        <f>SUM(D42:F42)+F44+F43</f>
        <v>68164613.41000006</v>
      </c>
    </row>
    <row r="48" spans="1:7" ht="12.75" customHeight="1">
      <c r="A48" s="45"/>
      <c r="C48" s="32" t="s">
        <v>214</v>
      </c>
      <c r="D48" s="125" t="str">
        <f>'[1]Instruct &amp; Input'!C8</f>
        <v>April 30, 2010</v>
      </c>
      <c r="E48" s="15" t="s">
        <v>19</v>
      </c>
      <c r="F48" s="139">
        <f>'Sched 2 File'!E15</f>
        <v>74496000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1">
        <f>ROUND(F47/F48,4)</f>
        <v>0.915</v>
      </c>
      <c r="G50" s="4" t="s">
        <v>158</v>
      </c>
    </row>
    <row r="51" ht="12.75" customHeight="1">
      <c r="G51" s="4" t="s">
        <v>216</v>
      </c>
    </row>
    <row r="52" ht="12.75" customHeight="1">
      <c r="A52" s="148"/>
    </row>
    <row r="59" ht="12.75" customHeight="1">
      <c r="A59" s="148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A19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9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50" t="s">
        <v>1</v>
      </c>
      <c r="M3" s="150"/>
      <c r="N3" s="150"/>
      <c r="O3" s="150"/>
      <c r="P3" s="150"/>
      <c r="Q3" s="150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April 30, 2010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1"/>
      <c r="B10" s="12" t="s">
        <v>3</v>
      </c>
      <c r="C10" s="12"/>
      <c r="D10" s="12" t="s">
        <v>152</v>
      </c>
      <c r="E10" s="152" t="s">
        <v>153</v>
      </c>
      <c r="G10" s="32" t="s">
        <v>230</v>
      </c>
      <c r="H10" s="125">
        <f>'[1]Instruct &amp; Input'!C20</f>
        <v>39506</v>
      </c>
      <c r="I10" s="15" t="s">
        <v>231</v>
      </c>
      <c r="J10" s="125">
        <f>'[1]Instruct &amp; Input'!E20</f>
        <v>39836</v>
      </c>
      <c r="K10" s="153">
        <f>VLOOKUP(H10,raaabatable,6)</f>
        <v>-16750281</v>
      </c>
      <c r="M10" s="32" t="s">
        <v>230</v>
      </c>
      <c r="N10" s="125">
        <f>'[1]Instruct &amp; Input'!C20</f>
        <v>39506</v>
      </c>
      <c r="O10" s="15" t="s">
        <v>231</v>
      </c>
      <c r="P10" s="125">
        <f>L39</f>
        <v>39843</v>
      </c>
      <c r="Q10" s="153">
        <f>VLOOKUP(N10,raaabatable,5)</f>
        <v>-2134</v>
      </c>
      <c r="S10" s="32" t="s">
        <v>230</v>
      </c>
      <c r="T10" s="125">
        <f>'[1]Instruct &amp; Input'!C22</f>
        <v>39776</v>
      </c>
      <c r="U10" s="15" t="s">
        <v>231</v>
      </c>
      <c r="V10" s="125">
        <f>R21</f>
        <v>39840</v>
      </c>
      <c r="W10" s="153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4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4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4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4" t="s">
        <v>217</v>
      </c>
    </row>
    <row r="17" spans="1:23" ht="12.75" customHeight="1">
      <c r="A17" s="45"/>
      <c r="B17" s="4" t="s">
        <v>252</v>
      </c>
      <c r="D17" s="42"/>
      <c r="E17" s="154" t="s">
        <v>253</v>
      </c>
      <c r="F17" s="155">
        <f>H10</f>
        <v>39506</v>
      </c>
      <c r="G17" s="55">
        <f>VLOOKUP(F17,ADJUSTTABLE,2)</f>
        <v>12978723</v>
      </c>
      <c r="H17" s="55">
        <f>VLOOKUP(F17,ADJUSTTABLE,4)</f>
        <v>0</v>
      </c>
      <c r="I17" s="55">
        <f>SUM(G17:H17)</f>
        <v>12978723</v>
      </c>
      <c r="J17" s="156">
        <f>VLOOKUP(H10,raaabatable,3)</f>
        <v>-0.2216</v>
      </c>
      <c r="K17" s="55">
        <f>ROUND(I17*J17,0)</f>
        <v>-2876085</v>
      </c>
      <c r="L17" s="155">
        <f>N10</f>
        <v>39506</v>
      </c>
      <c r="M17" s="55">
        <f>VLOOKUP(L17,ADJUSTTABLE,2)</f>
        <v>12978723</v>
      </c>
      <c r="N17" s="55">
        <f>VLOOKUP(L17,ADJUSTTABLE,4)</f>
        <v>0</v>
      </c>
      <c r="O17" s="55">
        <f>SUM(M17:N17)</f>
        <v>12978723</v>
      </c>
      <c r="P17" s="157">
        <f>VLOOKUP(N10,raaabatable,2)</f>
        <v>0</v>
      </c>
      <c r="Q17" s="55">
        <f>ROUND(O17*P17,0)</f>
        <v>0</v>
      </c>
      <c r="R17" s="155">
        <f>T10+2</f>
        <v>39778</v>
      </c>
      <c r="S17" s="55">
        <f>VLOOKUP(R17,ADJUSTTABLE,2)</f>
        <v>1911247.6</v>
      </c>
      <c r="T17" s="55">
        <f>VLOOKUP(R17,ADJUSTTABLE,4)</f>
        <v>0</v>
      </c>
      <c r="U17" s="55">
        <f>SUM(S17:T17)</f>
        <v>1911247.6</v>
      </c>
      <c r="V17" s="157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8">
        <f>SUM(F17+30)</f>
        <v>39536</v>
      </c>
      <c r="G19" s="55">
        <f>VLOOKUP(F19,ADJUSTTABLE,2)</f>
        <v>12690788</v>
      </c>
      <c r="H19" s="55">
        <f>VLOOKUP(F19,ADJUSTTABLE,4)</f>
        <v>0</v>
      </c>
      <c r="I19" s="55">
        <f>SUM(G19:H19)</f>
        <v>12690788</v>
      </c>
      <c r="J19" s="159">
        <f>J$17</f>
        <v>-0.2216</v>
      </c>
      <c r="K19" s="55">
        <f>ROUND(I19*J19,0)</f>
        <v>-2812279</v>
      </c>
      <c r="L19" s="158">
        <f>SUM(L17+30)</f>
        <v>39536</v>
      </c>
      <c r="M19" s="55">
        <f>VLOOKUP(L19,ADJUSTTABLE,2)</f>
        <v>12690788</v>
      </c>
      <c r="N19" s="55">
        <f>VLOOKUP(L19,ADJUSTTABLE,4)</f>
        <v>0</v>
      </c>
      <c r="O19" s="55">
        <f>SUM(M19:N19)</f>
        <v>12690788</v>
      </c>
      <c r="P19" s="4">
        <f>P$17</f>
        <v>0</v>
      </c>
      <c r="Q19" s="55">
        <f>ROUND(O19*P19,0)</f>
        <v>0</v>
      </c>
      <c r="R19" s="158">
        <f>SUM(R17+31)</f>
        <v>39809</v>
      </c>
      <c r="S19" s="55">
        <f>VLOOKUP(R19,ADJUSTTABLE,2)</f>
        <v>5386264.3</v>
      </c>
      <c r="T19" s="55">
        <f>VLOOKUP(R19,ADJUSTTABLE,4)</f>
        <v>0</v>
      </c>
      <c r="U19" s="55">
        <f>SUM(S19:T19)</f>
        <v>5386264.3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-106316</v>
      </c>
      <c r="F21" s="158">
        <f>SUM(F19+30)</f>
        <v>39566</v>
      </c>
      <c r="G21" s="55">
        <f>VLOOKUP(F21,ADJUSTTABLE,2)</f>
        <v>7905968.9</v>
      </c>
      <c r="H21" s="55">
        <f>VLOOKUP(F21,ADJUSTTABLE,4)</f>
        <v>0</v>
      </c>
      <c r="I21" s="55">
        <f>SUM(G21:H21)</f>
        <v>7905968.9</v>
      </c>
      <c r="J21" s="159">
        <f>J$17</f>
        <v>-0.2216</v>
      </c>
      <c r="K21" s="55">
        <f>ROUND(I21*J21,0)</f>
        <v>-1751963</v>
      </c>
      <c r="L21" s="158">
        <f>SUM(L19+30)</f>
        <v>39566</v>
      </c>
      <c r="M21" s="55">
        <f>VLOOKUP(L21,ADJUSTTABLE,2)</f>
        <v>7905968.9</v>
      </c>
      <c r="N21" s="55">
        <f>VLOOKUP(L21,ADJUSTTABLE,4)</f>
        <v>0</v>
      </c>
      <c r="O21" s="55">
        <f>SUM(M21:N21)</f>
        <v>7905968.9</v>
      </c>
      <c r="P21" s="4">
        <f>P$17</f>
        <v>0</v>
      </c>
      <c r="Q21" s="55">
        <f>ROUND(O21*P21,0)</f>
        <v>0</v>
      </c>
      <c r="R21" s="158">
        <f>SUM(R19+31)</f>
        <v>39840</v>
      </c>
      <c r="S21" s="101">
        <f>VLOOKUP(R21,ADJUSTTABLE,2)</f>
        <v>10902127.3</v>
      </c>
      <c r="T21" s="101">
        <f>VLOOKUP(R21,ADJUSTTABLE,4)</f>
        <v>0</v>
      </c>
      <c r="U21" s="101">
        <f>SUM(S21:T21)</f>
        <v>10902127.3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8">
        <f>SUM(F21+30)</f>
        <v>39596</v>
      </c>
      <c r="G23" s="55">
        <f>VLOOKUP(F23,ADJUSTTABLE,2)</f>
        <v>3146258.5</v>
      </c>
      <c r="H23" s="55">
        <f>VLOOKUP(F23,ADJUSTTABLE,4)</f>
        <v>0</v>
      </c>
      <c r="I23" s="55">
        <f>SUM(G23:H23)</f>
        <v>3146258.5</v>
      </c>
      <c r="J23" s="159">
        <f>J$17</f>
        <v>-0.2216</v>
      </c>
      <c r="K23" s="55">
        <f>ROUND(I23*J23,0)</f>
        <v>-697211</v>
      </c>
      <c r="L23" s="158">
        <f>SUM(L21+30)</f>
        <v>39596</v>
      </c>
      <c r="M23" s="55">
        <f>VLOOKUP(L23,ADJUSTTABLE,2)</f>
        <v>3146258.5</v>
      </c>
      <c r="N23" s="55">
        <f>VLOOKUP(L23,ADJUSTTABLE,4)</f>
        <v>0</v>
      </c>
      <c r="O23" s="55">
        <f>SUM(M23:N23)</f>
        <v>3146258.5</v>
      </c>
      <c r="P23" s="4">
        <f>P$17</f>
        <v>0</v>
      </c>
      <c r="Q23" s="55">
        <f>ROUND(O23*P23,0)</f>
        <v>0</v>
      </c>
      <c r="R23" s="158" t="s">
        <v>245</v>
      </c>
      <c r="S23" s="55">
        <f>SUM(S17:S21)</f>
        <v>18199639.200000003</v>
      </c>
      <c r="T23" s="55">
        <f>SUM(T17:T21)</f>
        <v>0</v>
      </c>
      <c r="U23" s="55">
        <f>SUM(U17:U21)</f>
        <v>18199639.200000003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60"/>
      <c r="S24" s="161"/>
      <c r="T24" s="161"/>
      <c r="U24" s="161"/>
      <c r="V24" s="162"/>
      <c r="W24" s="163"/>
      <c r="X24" s="160"/>
    </row>
    <row r="25" spans="1:23" ht="12.75" customHeight="1" thickBot="1">
      <c r="A25" s="45"/>
      <c r="B25" s="4" t="s">
        <v>257</v>
      </c>
      <c r="D25" s="42"/>
      <c r="E25" s="47"/>
      <c r="F25" s="158">
        <f>SUM(F23+30)</f>
        <v>39626</v>
      </c>
      <c r="G25" s="55">
        <f>VLOOKUP(F25,ADJUSTTABLE,2)</f>
        <v>2055549.7</v>
      </c>
      <c r="H25" s="55">
        <f>VLOOKUP(F25,ADJUSTTABLE,4)</f>
        <v>0</v>
      </c>
      <c r="I25" s="55">
        <f>SUM(G25:H25)</f>
        <v>2055549.7</v>
      </c>
      <c r="J25" s="159">
        <f>J$17</f>
        <v>-0.2216</v>
      </c>
      <c r="K25" s="55">
        <f>ROUND(I25*J25,0)</f>
        <v>-455510</v>
      </c>
      <c r="L25" s="158">
        <f>SUM(L23+30)</f>
        <v>39626</v>
      </c>
      <c r="M25" s="55">
        <f>VLOOKUP(L25,ADJUSTTABLE,2)</f>
        <v>2055549.7</v>
      </c>
      <c r="N25" s="55">
        <f>VLOOKUP(L25,ADJUSTTABLE,4)</f>
        <v>0</v>
      </c>
      <c r="O25" s="55">
        <f>SUM(M25:N25)</f>
        <v>2055549.7</v>
      </c>
      <c r="P25" s="4">
        <f>P$17</f>
        <v>0</v>
      </c>
      <c r="Q25" s="55">
        <f>ROUND(O25*P25,0)</f>
        <v>0</v>
      </c>
      <c r="R25" s="158" t="s">
        <v>225</v>
      </c>
      <c r="S25" s="55"/>
      <c r="T25" s="55"/>
      <c r="U25" s="55"/>
      <c r="W25" s="164">
        <f>SUM(W10-W23)+W24</f>
        <v>0</v>
      </c>
    </row>
    <row r="26" spans="1:21" ht="12.75" customHeight="1" thickTop="1">
      <c r="A26" s="45"/>
      <c r="B26" s="4" t="s">
        <v>258</v>
      </c>
      <c r="D26" s="42"/>
      <c r="E26" s="154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4" t="s">
        <v>241</v>
      </c>
      <c r="F27" s="158">
        <f>SUM(F25+31)</f>
        <v>39657</v>
      </c>
      <c r="G27" s="55">
        <f>VLOOKUP(F27,ADJUSTTABLE,2)</f>
        <v>1307746.6</v>
      </c>
      <c r="H27" s="55">
        <f>VLOOKUP(F27,ADJUSTTABLE,4)</f>
        <v>0</v>
      </c>
      <c r="I27" s="55">
        <f>SUM(G27:H27)</f>
        <v>1307746.6</v>
      </c>
      <c r="J27" s="159">
        <f>J$17</f>
        <v>-0.2216</v>
      </c>
      <c r="K27" s="55">
        <f>ROUND(I27*J27,0)</f>
        <v>-289797</v>
      </c>
      <c r="L27" s="158">
        <f>SUM(L25+31)</f>
        <v>39657</v>
      </c>
      <c r="M27" s="55">
        <f>VLOOKUP(L27,ADJUSTTABLE,2)</f>
        <v>1307746.6</v>
      </c>
      <c r="N27" s="55">
        <f>VLOOKUP(L27,ADJUSTTABLE,4)</f>
        <v>0</v>
      </c>
      <c r="O27" s="55">
        <f>SUM(M27:N27)</f>
        <v>1307746.6</v>
      </c>
      <c r="P27" s="4">
        <f>P$17</f>
        <v>0</v>
      </c>
      <c r="Q27" s="55">
        <f>ROUND(O27*P27,0)</f>
        <v>0</v>
      </c>
      <c r="R27" s="148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4" t="s">
        <v>14</v>
      </c>
      <c r="G28" s="55"/>
      <c r="H28" s="55"/>
      <c r="I28" s="55"/>
      <c r="M28" s="55"/>
      <c r="N28" s="55"/>
      <c r="O28" s="55"/>
      <c r="R28" s="148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5" t="s">
        <v>217</v>
      </c>
      <c r="F29" s="158">
        <f>SUM(F27+31)</f>
        <v>39688</v>
      </c>
      <c r="G29" s="55">
        <f>VLOOKUP(F29,ADJUSTTABLE,2)</f>
        <v>1255253.5</v>
      </c>
      <c r="H29" s="55">
        <f>VLOOKUP(F29,ADJUSTTABLE,4)</f>
        <v>0</v>
      </c>
      <c r="I29" s="55">
        <f>SUM(G29:H29)</f>
        <v>1255253.5</v>
      </c>
      <c r="J29" s="159">
        <f>J$17</f>
        <v>-0.2216</v>
      </c>
      <c r="K29" s="55">
        <f>ROUND(I29*J29,0)</f>
        <v>-278164</v>
      </c>
      <c r="L29" s="158">
        <f>SUM(L27+31)</f>
        <v>39688</v>
      </c>
      <c r="M29" s="55">
        <f>VLOOKUP(L29,ADJUSTTABLE,2)</f>
        <v>1255253.5</v>
      </c>
      <c r="N29" s="55">
        <f>VLOOKUP(L29,ADJUSTTABLE,4)</f>
        <v>0</v>
      </c>
      <c r="O29" s="55">
        <f>SUM(M29:N29)</f>
        <v>1255253.5</v>
      </c>
      <c r="P29" s="4">
        <f>P$17</f>
        <v>0</v>
      </c>
      <c r="Q29" s="55">
        <f>ROUND(O29*P29,0)</f>
        <v>0</v>
      </c>
      <c r="R29" s="158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4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8">
        <f>SUM(F29+31)</f>
        <v>39719</v>
      </c>
      <c r="G31" s="55">
        <f>VLOOKUP(F31,ADJUSTTABLE,2)</f>
        <v>1319594</v>
      </c>
      <c r="H31" s="55">
        <f>VLOOKUP(F31,ADJUSTTABLE,4)</f>
        <v>0</v>
      </c>
      <c r="I31" s="55">
        <f>SUM(G31:H31)</f>
        <v>1319594</v>
      </c>
      <c r="J31" s="159">
        <f>J$17</f>
        <v>-0.2216</v>
      </c>
      <c r="K31" s="55">
        <f>ROUND(I31*J31,0)</f>
        <v>-292422</v>
      </c>
      <c r="L31" s="158">
        <f>SUM(L29+31)</f>
        <v>39719</v>
      </c>
      <c r="M31" s="55">
        <f>VLOOKUP(L31,ADJUSTTABLE,2)</f>
        <v>1319594</v>
      </c>
      <c r="N31" s="55">
        <f>VLOOKUP(L31,ADJUSTTABLE,4)</f>
        <v>0</v>
      </c>
      <c r="O31" s="55">
        <f>SUM(M31:N31)</f>
        <v>1319594</v>
      </c>
      <c r="P31" s="4">
        <f>P$17</f>
        <v>0</v>
      </c>
      <c r="Q31" s="55">
        <f>ROUND(O31*P31,0)</f>
        <v>0</v>
      </c>
      <c r="R31" s="158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8">
        <f>SUM(F31+31)</f>
        <v>39750</v>
      </c>
      <c r="G33" s="55">
        <f>VLOOKUP(F33,ADJUSTTABLE,2)</f>
        <v>1911247.6</v>
      </c>
      <c r="H33" s="55">
        <f>VLOOKUP(F33,ADJUSTTABLE,4)</f>
        <v>0</v>
      </c>
      <c r="I33" s="55">
        <f>SUM(G33:H33)</f>
        <v>1911247.6</v>
      </c>
      <c r="J33" s="159">
        <f>J$17</f>
        <v>-0.2216</v>
      </c>
      <c r="K33" s="55">
        <f>ROUND(I33*J33,0)</f>
        <v>-423532</v>
      </c>
      <c r="L33" s="158">
        <f>SUM(L31+31)</f>
        <v>39750</v>
      </c>
      <c r="M33" s="55">
        <f>VLOOKUP(L33,ADJUSTTABLE,2)</f>
        <v>1911247.6</v>
      </c>
      <c r="N33" s="55">
        <f>VLOOKUP(L33,ADJUSTTABLE,4)</f>
        <v>0</v>
      </c>
      <c r="O33" s="55">
        <f>SUM(M33:N33)</f>
        <v>1911247.6</v>
      </c>
      <c r="P33" s="4">
        <f>P$17</f>
        <v>0</v>
      </c>
      <c r="Q33" s="55">
        <f>ROUND(O33*P33,0)</f>
        <v>0</v>
      </c>
      <c r="R33" s="158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-2134</v>
      </c>
      <c r="F35" s="158">
        <f>SUM(F33+31)</f>
        <v>39781</v>
      </c>
      <c r="G35" s="55">
        <f>VLOOKUP(F35,ADJUSTTABLE,2)</f>
        <v>5386264.3</v>
      </c>
      <c r="H35" s="55">
        <f>VLOOKUP(F35,ADJUSTTABLE,4)</f>
        <v>0</v>
      </c>
      <c r="I35" s="55">
        <f>SUM(G35:H35)</f>
        <v>5386264.3</v>
      </c>
      <c r="J35" s="159">
        <f>J$17</f>
        <v>-0.2216</v>
      </c>
      <c r="K35" s="55">
        <f>ROUND(I35*J35,0)</f>
        <v>-1193596</v>
      </c>
      <c r="L35" s="158">
        <f>SUM(L33+31)</f>
        <v>39781</v>
      </c>
      <c r="M35" s="55">
        <f>VLOOKUP(L35,ADJUSTTABLE,2)</f>
        <v>5386264.3</v>
      </c>
      <c r="N35" s="55">
        <f>VLOOKUP(L35,ADJUSTTABLE,4)</f>
        <v>0</v>
      </c>
      <c r="O35" s="55">
        <f>SUM(M35:N35)</f>
        <v>5386264.3</v>
      </c>
      <c r="P35" s="4">
        <f>P$17</f>
        <v>0</v>
      </c>
      <c r="Q35" s="55">
        <f>ROUND(O35*P35,0)</f>
        <v>0</v>
      </c>
      <c r="R35" s="158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8">
        <f>SUM(F35+31)</f>
        <v>39812</v>
      </c>
      <c r="G37" s="55">
        <f>VLOOKUP(F37,ADJUSTTABLE,2)</f>
        <v>10902127.3</v>
      </c>
      <c r="H37" s="55">
        <f>VLOOKUP(F37,ADJUSTTABLE,4)</f>
        <v>0</v>
      </c>
      <c r="I37" s="55">
        <f>SUM(G37:H37)</f>
        <v>10902127.3</v>
      </c>
      <c r="J37" s="159">
        <f>J$17</f>
        <v>-0.2216</v>
      </c>
      <c r="K37" s="55">
        <f>ROUND(I37*J37,0)</f>
        <v>-2415911</v>
      </c>
      <c r="L37" s="158">
        <f>SUM(L35+31)</f>
        <v>39812</v>
      </c>
      <c r="M37" s="55">
        <f>VLOOKUP(L37,ADJUSTTABLE,2)</f>
        <v>10902127.3</v>
      </c>
      <c r="N37" s="55">
        <f>VLOOKUP(L37,ADJUSTTABLE,4)</f>
        <v>0</v>
      </c>
      <c r="O37" s="55">
        <f>SUM(M37:N37)</f>
        <v>10902127.3</v>
      </c>
      <c r="P37" s="4">
        <f>P$17</f>
        <v>0</v>
      </c>
      <c r="Q37" s="55">
        <f>ROUND(O37*P37,0)</f>
        <v>0</v>
      </c>
      <c r="R37" s="158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4" t="s">
        <v>236</v>
      </c>
      <c r="F39" s="158">
        <f>SUM(F37+31)</f>
        <v>39843</v>
      </c>
      <c r="G39" s="101">
        <f>VLOOKUP(F39,ADJUSTTABLE,2)</f>
        <v>14248624.1</v>
      </c>
      <c r="H39" s="101">
        <f>VLOOKUP(F39,ADJUSTTABLE,4)</f>
        <v>0</v>
      </c>
      <c r="I39" s="101">
        <f>SUM(G39:H39)</f>
        <v>14248624.1</v>
      </c>
      <c r="J39" s="159">
        <f>J$17</f>
        <v>-0.2216</v>
      </c>
      <c r="K39" s="101">
        <f>ROUND(I39*J39,0)</f>
        <v>-3157495</v>
      </c>
      <c r="L39" s="158">
        <f>SUM(L37+31)</f>
        <v>39843</v>
      </c>
      <c r="M39" s="101">
        <f>VLOOKUP(L39,ADJUSTTABLE,2)</f>
        <v>14248624.1</v>
      </c>
      <c r="N39" s="101">
        <f>VLOOKUP(L39,ADJUSTTABLE,4)</f>
        <v>0</v>
      </c>
      <c r="O39" s="101">
        <f>SUM(M39:N39)</f>
        <v>14248624.1</v>
      </c>
      <c r="P39" s="4">
        <f>P$17</f>
        <v>0</v>
      </c>
      <c r="Q39" s="101">
        <f>ROUND(O39*P39,0)</f>
        <v>0</v>
      </c>
      <c r="R39" s="158"/>
      <c r="S39" s="101"/>
      <c r="T39" s="101"/>
      <c r="U39" s="101"/>
      <c r="W39" s="101"/>
    </row>
    <row r="40" spans="1:21" ht="12.75" customHeight="1">
      <c r="A40" s="45"/>
      <c r="D40" s="42"/>
      <c r="E40" s="154" t="s">
        <v>241</v>
      </c>
      <c r="F40" s="158"/>
      <c r="G40" s="101"/>
      <c r="H40" s="101"/>
      <c r="I40" s="101"/>
      <c r="J40" s="159"/>
      <c r="K40" s="101"/>
      <c r="L40" s="158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4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4" t="s">
        <v>217</v>
      </c>
      <c r="F42" s="4" t="s">
        <v>245</v>
      </c>
      <c r="G42" s="55">
        <f>SUM(G17:G39)</f>
        <v>75108145.5</v>
      </c>
      <c r="H42" s="55">
        <f>SUM(H17:H39)</f>
        <v>0</v>
      </c>
      <c r="I42" s="55">
        <f>SUM(I17:I39)</f>
        <v>75108145.5</v>
      </c>
      <c r="K42" s="101">
        <f>SUM(K17:K39)</f>
        <v>-16643965</v>
      </c>
      <c r="L42" s="4" t="s">
        <v>245</v>
      </c>
      <c r="M42" s="55">
        <f>SUM(M17:M39)</f>
        <v>75108145.5</v>
      </c>
      <c r="N42" s="55">
        <f>SUM(N17:N39)</f>
        <v>0</v>
      </c>
      <c r="O42" s="55">
        <f>SUM(O17:O39)</f>
        <v>75108145.5</v>
      </c>
      <c r="Q42" s="101">
        <f>SUM(Q17:Q39)</f>
        <v>0</v>
      </c>
    </row>
    <row r="43" spans="1:23" ht="12.75" customHeight="1">
      <c r="A43" s="45"/>
      <c r="B43" s="4" t="s">
        <v>271</v>
      </c>
      <c r="D43" s="42"/>
      <c r="E43" s="154" t="s">
        <v>272</v>
      </c>
      <c r="W43" s="166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7">
        <f>SUM(K10-K42)</f>
        <v>-106316</v>
      </c>
      <c r="L44" s="4" t="s">
        <v>224</v>
      </c>
      <c r="Q44" s="167">
        <f>SUM(Q10-Q42)</f>
        <v>-2134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8" t="s">
        <v>260</v>
      </c>
      <c r="L46" s="148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8" t="s">
        <v>262</v>
      </c>
      <c r="L47" s="148" t="s">
        <v>262</v>
      </c>
    </row>
    <row r="48" spans="1:5" ht="12.75" customHeight="1">
      <c r="A48" s="45"/>
      <c r="D48" s="42"/>
      <c r="E48" s="168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-108450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39962</v>
      </c>
      <c r="B5" s="2"/>
      <c r="C5" s="2"/>
      <c r="D5" s="2"/>
      <c r="E5" s="2"/>
    </row>
    <row r="7" spans="1:5" ht="12.75" customHeight="1">
      <c r="A7" s="169" t="s">
        <v>278</v>
      </c>
      <c r="B7" s="124"/>
      <c r="C7" s="124"/>
      <c r="D7" s="124"/>
      <c r="E7" s="124"/>
    </row>
    <row r="8" spans="1:5" ht="12.75" customHeight="1">
      <c r="A8" s="170" t="s">
        <v>279</v>
      </c>
      <c r="B8" s="124"/>
      <c r="C8" s="124"/>
      <c r="D8" s="124"/>
      <c r="E8" s="170" t="s">
        <v>6</v>
      </c>
    </row>
    <row r="10" spans="1:3" ht="12.75" customHeight="1">
      <c r="A10" s="4">
        <v>1</v>
      </c>
      <c r="C10" s="171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125835371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85391000</v>
      </c>
    </row>
    <row r="15" spans="1:5" ht="12.75" customHeight="1">
      <c r="A15" s="4">
        <f>A13+1</f>
        <v>4</v>
      </c>
      <c r="C15" s="4" t="s">
        <v>283</v>
      </c>
      <c r="E15" s="172">
        <f>ROUND(E12/E13,4)*100</f>
        <v>147.36</v>
      </c>
    </row>
    <row r="16" spans="1:5" ht="12.75" customHeight="1">
      <c r="A16" s="46"/>
      <c r="B16" s="46"/>
      <c r="C16" s="46"/>
      <c r="D16" s="173"/>
      <c r="E16" s="174"/>
    </row>
    <row r="17" spans="1:5" ht="12.75" customHeight="1">
      <c r="A17" s="46"/>
      <c r="B17" s="46"/>
      <c r="C17" s="46"/>
      <c r="D17" s="46"/>
      <c r="E17" s="175"/>
    </row>
    <row r="18" spans="1:5" ht="12.75" customHeight="1">
      <c r="A18" s="46"/>
      <c r="B18" s="46"/>
      <c r="C18" s="46"/>
      <c r="D18" s="46"/>
      <c r="E18" s="176"/>
    </row>
    <row r="19" spans="1:5" ht="12.75" customHeight="1">
      <c r="A19" s="46"/>
      <c r="B19" s="46"/>
      <c r="C19" s="46"/>
      <c r="D19" s="46"/>
      <c r="E19" s="177"/>
    </row>
    <row r="20" ht="12.75" customHeight="1">
      <c r="E20" s="178"/>
    </row>
    <row r="21" ht="12.75" customHeight="1">
      <c r="E21" s="178"/>
    </row>
    <row r="22" ht="12.75" customHeight="1">
      <c r="E22" s="178"/>
    </row>
    <row r="23" spans="1:5" ht="12.75" customHeight="1">
      <c r="A23" s="4">
        <f>A15+1</f>
        <v>5</v>
      </c>
      <c r="C23" s="179">
        <v>0.1</v>
      </c>
      <c r="D23" s="4" t="s">
        <v>280</v>
      </c>
      <c r="E23" s="180">
        <f>ROUND($E$15*C23,2)</f>
        <v>14.74</v>
      </c>
    </row>
    <row r="24" ht="12.75" customHeight="1">
      <c r="C24" s="15"/>
    </row>
    <row r="25" spans="1:5" ht="12.75" customHeight="1">
      <c r="A25" s="4">
        <f>A23+1</f>
        <v>6</v>
      </c>
      <c r="C25" s="179">
        <v>0.2</v>
      </c>
      <c r="D25" s="4" t="s">
        <v>280</v>
      </c>
      <c r="E25" s="180">
        <f>ROUND($E$15*C25,2)</f>
        <v>29.47</v>
      </c>
    </row>
    <row r="26" ht="12.75" customHeight="1">
      <c r="C26" s="15"/>
    </row>
    <row r="27" spans="1:5" ht="12.75" customHeight="1">
      <c r="A27" s="4">
        <f>A25+1</f>
        <v>7</v>
      </c>
      <c r="C27" s="179">
        <v>0.3</v>
      </c>
      <c r="D27" s="4" t="s">
        <v>280</v>
      </c>
      <c r="E27" s="180">
        <f>ROUND($E$15*C27,2)</f>
        <v>44.21</v>
      </c>
    </row>
    <row r="28" ht="12.75" customHeight="1">
      <c r="C28" s="15"/>
    </row>
    <row r="29" spans="1:5" ht="12.75" customHeight="1">
      <c r="A29" s="4">
        <f>A27+1</f>
        <v>8</v>
      </c>
      <c r="C29" s="179">
        <v>0.4</v>
      </c>
      <c r="D29" s="4" t="s">
        <v>280</v>
      </c>
      <c r="E29" s="180">
        <f>ROUND($E$15*C29,2)</f>
        <v>58.94</v>
      </c>
    </row>
    <row r="30" ht="12.75" customHeight="1">
      <c r="C30" s="15"/>
    </row>
    <row r="31" spans="1:5" ht="12.75" customHeight="1">
      <c r="A31" s="4">
        <f>A29+1</f>
        <v>9</v>
      </c>
      <c r="C31" s="179">
        <v>0.5</v>
      </c>
      <c r="D31" s="4" t="s">
        <v>280</v>
      </c>
      <c r="E31" s="180">
        <f>ROUND($E$15*C31,2)</f>
        <v>73.68</v>
      </c>
    </row>
    <row r="32" ht="12.75" customHeight="1">
      <c r="C32" s="15"/>
    </row>
    <row r="33" spans="1:5" ht="12.75" customHeight="1">
      <c r="A33" s="4">
        <f>A31+1</f>
        <v>10</v>
      </c>
      <c r="C33" s="179">
        <v>0.6</v>
      </c>
      <c r="D33" s="4" t="s">
        <v>280</v>
      </c>
      <c r="E33" s="180">
        <f>ROUND($E$15*C33,2)</f>
        <v>88.42</v>
      </c>
    </row>
    <row r="34" ht="12.75" customHeight="1">
      <c r="C34" s="15"/>
    </row>
    <row r="35" spans="1:5" ht="12.75" customHeight="1">
      <c r="A35" s="4">
        <f>A33+1</f>
        <v>11</v>
      </c>
      <c r="C35" s="179">
        <v>0.7</v>
      </c>
      <c r="D35" s="4" t="s">
        <v>280</v>
      </c>
      <c r="E35" s="180">
        <f>ROUND($E$15*C35,2)</f>
        <v>103.15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79">
        <v>0.8</v>
      </c>
      <c r="D37" s="4" t="s">
        <v>280</v>
      </c>
      <c r="E37" s="180">
        <f>ROUND($E$15*C37,2)</f>
        <v>117.89</v>
      </c>
    </row>
    <row r="38" ht="12.75" customHeight="1">
      <c r="C38" s="15"/>
    </row>
    <row r="39" spans="1:5" ht="12.75" customHeight="1">
      <c r="A39" s="4">
        <f>A37+1</f>
        <v>13</v>
      </c>
      <c r="C39" s="179">
        <v>0.9</v>
      </c>
      <c r="D39" s="4" t="s">
        <v>280</v>
      </c>
      <c r="E39" s="180">
        <f>ROUND($E$15*C39,2)</f>
        <v>132.62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2009-05-15T11:05:09Z</dcterms:created>
  <dcterms:modified xsi:type="dcterms:W3CDTF">2009-05-15T11:07:39Z</dcterms:modified>
  <cp:category/>
  <cp:version/>
  <cp:contentType/>
  <cp:contentStatus/>
</cp:coreProperties>
</file>