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-my.sharepoint.com/personal/minna_sunderman_duke-energy_com/Documents/Desktop/Electronic Filing/"/>
    </mc:Choice>
  </mc:AlternateContent>
  <xr:revisionPtr revIDLastSave="0" documentId="8_{2E27C6A3-EC3A-4FC0-9D3D-946C3B2AD0C7}" xr6:coauthVersionLast="47" xr6:coauthVersionMax="47" xr10:uidLastSave="{00000000-0000-0000-0000-000000000000}"/>
  <bookViews>
    <workbookView xWindow="-120" yWindow="-120" windowWidth="29040" windowHeight="15840" tabRatio="916" xr2:uid="{00000000-000D-0000-FFFF-FFFF00000000}"/>
  </bookViews>
  <sheets>
    <sheet name="Workflow" sheetId="16" r:id="rId1"/>
    <sheet name="mPeak_Data" sheetId="15" r:id="rId2"/>
    <sheet name="DEO_work" sheetId="14" r:id="rId3"/>
    <sheet name="DEK_work" sheetId="13" r:id="rId4"/>
    <sheet name="FE-T1" sheetId="12" r:id="rId5"/>
    <sheet name="FE-T2 (Before DSM)" sheetId="8" r:id="rId6"/>
    <sheet name="FE-T2 (After DSM)" sheetId="9" r:id="rId7"/>
    <sheet name="FE-T3" sheetId="1" r:id="rId8"/>
    <sheet name="FE-T4" sheetId="5" r:id="rId9"/>
    <sheet name="FE-D1" sheetId="2" r:id="rId10"/>
    <sheet name="FE-D1 (ADSM)" sheetId="3" r:id="rId11"/>
    <sheet name="FE-D3 (BDSM)" sheetId="6" r:id="rId12"/>
    <sheet name="FE-D3 (ADSM)" sheetId="7" r:id="rId13"/>
    <sheet name="FE-D5 (BDSM) &amp; (ADSM)" sheetId="4" r:id="rId14"/>
    <sheet name="FE-D6 (BDSM) &amp; (ADSM)" sheetId="10" r:id="rId15"/>
  </sheets>
  <definedNames>
    <definedName name="FC_Begin">DEO_work!$B$13</definedName>
    <definedName name="LL_ratio">DEO_work!$U$1</definedName>
    <definedName name="_xlnm.Print_Area" localSheetId="11">'FE-D3 (BDSM)'!$A$3:$X$33</definedName>
    <definedName name="_xlnm.Print_Area" localSheetId="13">'FE-D5 (BDSM) &amp; (ADSM)'!$K$1:$P$42</definedName>
    <definedName name="_xlnm.Print_Area" localSheetId="14">'FE-D6 (BDSM) &amp; (ADSM)'!$K$1:$Q$42</definedName>
    <definedName name="_xlnm.Print_Area" localSheetId="7">'FE-T3'!$B$3:$F$45</definedName>
    <definedName name="_xlnm.Print_Area" localSheetId="8">'FE-T4'!$B$3:$E$43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3" l="1"/>
  <c r="G19" i="13"/>
  <c r="H19" i="13" s="1"/>
  <c r="Q20" i="13"/>
  <c r="R20" i="13"/>
  <c r="E8" i="13" l="1"/>
  <c r="T8" i="14" l="1"/>
  <c r="U8" i="14" l="1"/>
  <c r="U19" i="14"/>
  <c r="V8" i="14"/>
  <c r="W8" i="14" s="1"/>
  <c r="G18" i="13" l="1"/>
  <c r="A205" i="13"/>
  <c r="A195" i="13"/>
  <c r="A196" i="13" s="1"/>
  <c r="A194" i="13"/>
  <c r="U39" i="14"/>
  <c r="T39" i="14"/>
  <c r="A197" i="13" l="1"/>
  <c r="B12" i="12"/>
  <c r="A198" i="13" l="1"/>
  <c r="A199" i="13" l="1"/>
  <c r="A200" i="13" l="1"/>
  <c r="A201" i="13" l="1"/>
  <c r="A202" i="13" l="1"/>
  <c r="A203" i="13" l="1"/>
  <c r="A204" i="13" l="1"/>
  <c r="T29" i="14" l="1"/>
  <c r="U29" i="14"/>
  <c r="F18" i="13" l="1"/>
  <c r="H18" i="13" s="1"/>
  <c r="U18" i="14"/>
  <c r="E7" i="13" l="1"/>
  <c r="T7" i="14" l="1"/>
  <c r="AM45" i="14" l="1"/>
  <c r="AM43" i="14"/>
  <c r="AM44" i="14"/>
  <c r="AM46" i="14"/>
  <c r="AM47" i="14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AM42" i="14" l="1"/>
  <c r="AM39" i="14" l="1"/>
  <c r="AM40" i="14"/>
  <c r="AM41" i="14"/>
  <c r="AM38" i="14"/>
  <c r="H400" i="15" l="1"/>
  <c r="H399" i="15"/>
  <c r="H398" i="15"/>
  <c r="H397" i="15"/>
  <c r="H396" i="15"/>
  <c r="H395" i="15"/>
  <c r="H394" i="15"/>
  <c r="H393" i="15"/>
  <c r="H392" i="15"/>
  <c r="H391" i="15"/>
  <c r="H390" i="15"/>
  <c r="H389" i="15"/>
  <c r="H388" i="15"/>
  <c r="H387" i="15"/>
  <c r="H386" i="15"/>
  <c r="H385" i="15"/>
  <c r="H384" i="15"/>
  <c r="H383" i="15"/>
  <c r="H382" i="15"/>
  <c r="H381" i="15"/>
  <c r="H380" i="15"/>
  <c r="H379" i="15"/>
  <c r="H378" i="15"/>
  <c r="H377" i="15"/>
  <c r="H376" i="15"/>
  <c r="H375" i="15"/>
  <c r="H374" i="15"/>
  <c r="H373" i="15"/>
  <c r="H372" i="15"/>
  <c r="H371" i="15"/>
  <c r="H370" i="15"/>
  <c r="H369" i="15"/>
  <c r="H368" i="15"/>
  <c r="H367" i="15"/>
  <c r="H366" i="15"/>
  <c r="H365" i="15"/>
  <c r="H364" i="15"/>
  <c r="H363" i="15"/>
  <c r="H362" i="15"/>
  <c r="H361" i="15"/>
  <c r="H360" i="15"/>
  <c r="H359" i="15"/>
  <c r="H358" i="15"/>
  <c r="H357" i="15"/>
  <c r="H356" i="15"/>
  <c r="H355" i="15"/>
  <c r="H354" i="15"/>
  <c r="H353" i="15"/>
  <c r="H352" i="15"/>
  <c r="H351" i="15"/>
  <c r="H350" i="15"/>
  <c r="H349" i="15"/>
  <c r="H348" i="15"/>
  <c r="H347" i="15"/>
  <c r="H346" i="15"/>
  <c r="H345" i="15"/>
  <c r="H344" i="15"/>
  <c r="H343" i="15"/>
  <c r="H342" i="15"/>
  <c r="H341" i="15"/>
  <c r="H340" i="15"/>
  <c r="H339" i="15"/>
  <c r="H338" i="15"/>
  <c r="H337" i="15"/>
  <c r="H336" i="15"/>
  <c r="H335" i="15"/>
  <c r="H334" i="15"/>
  <c r="H333" i="15"/>
  <c r="H332" i="15"/>
  <c r="H331" i="15"/>
  <c r="H330" i="15"/>
  <c r="H329" i="15"/>
  <c r="H328" i="15"/>
  <c r="H327" i="15"/>
  <c r="H326" i="15"/>
  <c r="H325" i="15"/>
  <c r="H324" i="15"/>
  <c r="H323" i="15"/>
  <c r="H322" i="15"/>
  <c r="H321" i="15"/>
  <c r="H320" i="15"/>
  <c r="H319" i="15"/>
  <c r="H318" i="15"/>
  <c r="H317" i="15"/>
  <c r="H316" i="15"/>
  <c r="H315" i="15"/>
  <c r="H314" i="15"/>
  <c r="H313" i="15"/>
  <c r="H312" i="15"/>
  <c r="H311" i="15"/>
  <c r="H310" i="15"/>
  <c r="H309" i="15"/>
  <c r="H308" i="15"/>
  <c r="H307" i="15"/>
  <c r="H306" i="15"/>
  <c r="H305" i="15"/>
  <c r="H304" i="15"/>
  <c r="H303" i="15"/>
  <c r="H302" i="15"/>
  <c r="H301" i="15"/>
  <c r="H300" i="15"/>
  <c r="H299" i="15"/>
  <c r="H298" i="15"/>
  <c r="H297" i="15"/>
  <c r="H296" i="15"/>
  <c r="H295" i="15"/>
  <c r="H294" i="15"/>
  <c r="H293" i="15"/>
  <c r="H292" i="15"/>
  <c r="H291" i="15"/>
  <c r="H290" i="15"/>
  <c r="H289" i="15"/>
  <c r="H288" i="15"/>
  <c r="H287" i="15"/>
  <c r="H286" i="15"/>
  <c r="H285" i="15"/>
  <c r="H284" i="15"/>
  <c r="H283" i="15"/>
  <c r="H282" i="15"/>
  <c r="H281" i="15"/>
  <c r="H280" i="15"/>
  <c r="H279" i="15"/>
  <c r="H278" i="15"/>
  <c r="H277" i="15"/>
  <c r="H276" i="15"/>
  <c r="H275" i="15"/>
  <c r="H274" i="15"/>
  <c r="H273" i="15"/>
  <c r="H272" i="15"/>
  <c r="H271" i="15"/>
  <c r="H270" i="15"/>
  <c r="H269" i="15"/>
  <c r="H268" i="15"/>
  <c r="H267" i="15"/>
  <c r="H266" i="15"/>
  <c r="H265" i="15"/>
  <c r="H264" i="15"/>
  <c r="H263" i="15"/>
  <c r="H262" i="15"/>
  <c r="H261" i="15"/>
  <c r="H260" i="15"/>
  <c r="H259" i="15"/>
  <c r="H258" i="15"/>
  <c r="H257" i="15"/>
  <c r="H256" i="15"/>
  <c r="H255" i="15"/>
  <c r="H254" i="15"/>
  <c r="H253" i="15"/>
  <c r="H252" i="15"/>
  <c r="H251" i="15"/>
  <c r="H250" i="15"/>
  <c r="H249" i="15"/>
  <c r="H248" i="15"/>
  <c r="H247" i="15"/>
  <c r="H246" i="15"/>
  <c r="H245" i="15"/>
  <c r="H244" i="15"/>
  <c r="H243" i="15"/>
  <c r="H242" i="15"/>
  <c r="H241" i="15"/>
  <c r="H240" i="15"/>
  <c r="H239" i="15"/>
  <c r="H238" i="15"/>
  <c r="H237" i="15"/>
  <c r="H236" i="15"/>
  <c r="H235" i="15"/>
  <c r="H234" i="15"/>
  <c r="H233" i="15"/>
  <c r="H232" i="15"/>
  <c r="H231" i="15"/>
  <c r="H230" i="15"/>
  <c r="H229" i="15"/>
  <c r="H228" i="15"/>
  <c r="H227" i="15"/>
  <c r="H226" i="15"/>
  <c r="H225" i="15"/>
  <c r="H224" i="15"/>
  <c r="H223" i="15"/>
  <c r="H222" i="15"/>
  <c r="H221" i="15"/>
  <c r="H220" i="15"/>
  <c r="H219" i="15"/>
  <c r="H218" i="15"/>
  <c r="H217" i="15"/>
  <c r="H216" i="15"/>
  <c r="H215" i="15"/>
  <c r="H214" i="15"/>
  <c r="H213" i="15"/>
  <c r="H212" i="15"/>
  <c r="H211" i="15"/>
  <c r="H210" i="15"/>
  <c r="H209" i="15"/>
  <c r="H208" i="15"/>
  <c r="H207" i="15"/>
  <c r="H206" i="15"/>
  <c r="H205" i="15"/>
  <c r="H204" i="15"/>
  <c r="H203" i="15"/>
  <c r="H202" i="15"/>
  <c r="H201" i="15"/>
  <c r="H200" i="15"/>
  <c r="H199" i="15"/>
  <c r="H198" i="15"/>
  <c r="H197" i="15"/>
  <c r="H196" i="15"/>
  <c r="H195" i="15"/>
  <c r="H194" i="15"/>
  <c r="H193" i="15"/>
  <c r="H192" i="15"/>
  <c r="H191" i="15"/>
  <c r="H190" i="15"/>
  <c r="H189" i="15"/>
  <c r="H188" i="15"/>
  <c r="H187" i="15"/>
  <c r="H186" i="15"/>
  <c r="H185" i="15"/>
  <c r="H184" i="15"/>
  <c r="H183" i="15"/>
  <c r="H182" i="15"/>
  <c r="H181" i="15"/>
  <c r="H180" i="15"/>
  <c r="H179" i="15"/>
  <c r="H178" i="15"/>
  <c r="H177" i="15"/>
  <c r="H176" i="15"/>
  <c r="H175" i="15"/>
  <c r="H174" i="15"/>
  <c r="H173" i="15"/>
  <c r="H172" i="15"/>
  <c r="H171" i="15"/>
  <c r="H170" i="15"/>
  <c r="H169" i="15"/>
  <c r="H168" i="15"/>
  <c r="H167" i="15"/>
  <c r="H166" i="15"/>
  <c r="H165" i="15"/>
  <c r="H164" i="15"/>
  <c r="H163" i="15"/>
  <c r="H162" i="15"/>
  <c r="H161" i="15"/>
  <c r="H160" i="15"/>
  <c r="H159" i="15"/>
  <c r="H158" i="15"/>
  <c r="H157" i="15"/>
  <c r="H156" i="15"/>
  <c r="H155" i="15"/>
  <c r="H154" i="15"/>
  <c r="H153" i="15"/>
  <c r="H152" i="15"/>
  <c r="H151" i="15"/>
  <c r="H150" i="15"/>
  <c r="H149" i="15"/>
  <c r="H148" i="15"/>
  <c r="H147" i="15"/>
  <c r="H146" i="15"/>
  <c r="H145" i="15"/>
  <c r="H144" i="15"/>
  <c r="H143" i="15"/>
  <c r="H142" i="15"/>
  <c r="H141" i="15"/>
  <c r="H140" i="15"/>
  <c r="H139" i="15"/>
  <c r="H138" i="15"/>
  <c r="H137" i="15"/>
  <c r="H136" i="15"/>
  <c r="H135" i="15"/>
  <c r="H134" i="15"/>
  <c r="H133" i="15"/>
  <c r="H132" i="15"/>
  <c r="H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16" i="15"/>
  <c r="H115" i="15"/>
  <c r="H114" i="15"/>
  <c r="H113" i="15"/>
  <c r="H112" i="15"/>
  <c r="H111" i="15"/>
  <c r="H110" i="15"/>
  <c r="H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E6" i="13"/>
  <c r="G17" i="13"/>
  <c r="F17" i="13"/>
  <c r="A182" i="14"/>
  <c r="U38" i="14"/>
  <c r="U17" i="14"/>
  <c r="T6" i="14"/>
  <c r="T38" i="14" l="1"/>
  <c r="H17" i="13"/>
  <c r="A183" i="14"/>
  <c r="Q182" i="14"/>
  <c r="L182" i="14"/>
  <c r="N182" i="14"/>
  <c r="Q183" i="14" l="1"/>
  <c r="L183" i="14"/>
  <c r="A184" i="14"/>
  <c r="N183" i="14" l="1"/>
  <c r="L184" i="14"/>
  <c r="A185" i="14"/>
  <c r="Q184" i="14"/>
  <c r="N184" i="14"/>
  <c r="L185" i="14" l="1"/>
  <c r="Q185" i="14"/>
  <c r="A186" i="14"/>
  <c r="A187" i="14" l="1"/>
  <c r="Q186" i="14"/>
  <c r="L186" i="14"/>
  <c r="N185" i="14"/>
  <c r="L187" i="14"/>
  <c r="A188" i="14"/>
  <c r="N186" i="14" l="1"/>
  <c r="L188" i="14"/>
  <c r="A189" i="14"/>
  <c r="Q187" i="14"/>
  <c r="N187" i="14"/>
  <c r="L189" i="14" l="1"/>
  <c r="A190" i="14"/>
  <c r="N188" i="14"/>
  <c r="Q188" i="14"/>
  <c r="A191" i="14" l="1"/>
  <c r="L190" i="14"/>
  <c r="Q189" i="14"/>
  <c r="N189" i="14"/>
  <c r="N190" i="14" l="1"/>
  <c r="Q190" i="14"/>
  <c r="L191" i="14"/>
  <c r="A192" i="14"/>
  <c r="A193" i="14" l="1"/>
  <c r="L192" i="14"/>
  <c r="Q191" i="14"/>
  <c r="N191" i="14"/>
  <c r="A194" i="14" l="1"/>
  <c r="Q192" i="14"/>
  <c r="N192" i="14"/>
  <c r="L193" i="14"/>
  <c r="L194" i="14" l="1"/>
  <c r="A195" i="14"/>
  <c r="Q193" i="14"/>
  <c r="N193" i="14"/>
  <c r="V17" i="14"/>
  <c r="A196" i="14" l="1"/>
  <c r="L195" i="14"/>
  <c r="Q194" i="14"/>
  <c r="N194" i="14"/>
  <c r="T5" i="14"/>
  <c r="T4" i="14"/>
  <c r="E5" i="13"/>
  <c r="L196" i="14" l="1"/>
  <c r="A197" i="14"/>
  <c r="N195" i="14"/>
  <c r="Q195" i="14"/>
  <c r="C16" i="2"/>
  <c r="C15" i="2"/>
  <c r="C14" i="2"/>
  <c r="C13" i="2"/>
  <c r="C12" i="2"/>
  <c r="L197" i="14" l="1"/>
  <c r="A198" i="14"/>
  <c r="Q196" i="14"/>
  <c r="N196" i="14"/>
  <c r="K12" i="2"/>
  <c r="K13" i="2"/>
  <c r="K14" i="2"/>
  <c r="K15" i="2"/>
  <c r="K16" i="2"/>
  <c r="H13" i="2"/>
  <c r="H14" i="2"/>
  <c r="H15" i="2"/>
  <c r="H16" i="2"/>
  <c r="H12" i="2"/>
  <c r="F13" i="2"/>
  <c r="F14" i="2"/>
  <c r="F15" i="2"/>
  <c r="F16" i="2"/>
  <c r="F12" i="2"/>
  <c r="E13" i="2"/>
  <c r="E14" i="2"/>
  <c r="E15" i="2"/>
  <c r="E16" i="2"/>
  <c r="E12" i="2"/>
  <c r="D16" i="2"/>
  <c r="D13" i="2"/>
  <c r="D14" i="2"/>
  <c r="D15" i="2"/>
  <c r="D12" i="2"/>
  <c r="A199" i="14" l="1"/>
  <c r="L198" i="14"/>
  <c r="N197" i="14"/>
  <c r="Q197" i="14"/>
  <c r="R15" i="13"/>
  <c r="Q12" i="13"/>
  <c r="A200" i="14" l="1"/>
  <c r="L199" i="14"/>
  <c r="N198" i="14"/>
  <c r="Q198" i="14"/>
  <c r="R16" i="13"/>
  <c r="R17" i="13" s="1"/>
  <c r="R18" i="13" s="1"/>
  <c r="R19" i="13" s="1"/>
  <c r="Q13" i="13"/>
  <c r="Q14" i="13" s="1"/>
  <c r="Q15" i="13" s="1"/>
  <c r="Q16" i="13" s="1"/>
  <c r="Q17" i="13" s="1"/>
  <c r="Q18" i="13" s="1"/>
  <c r="Q19" i="13" s="1"/>
  <c r="A201" i="14" l="1"/>
  <c r="L200" i="14"/>
  <c r="Q199" i="14"/>
  <c r="N199" i="14"/>
  <c r="F16" i="13"/>
  <c r="N171" i="14"/>
  <c r="N170" i="14"/>
  <c r="U16" i="14"/>
  <c r="A202" i="14" l="1"/>
  <c r="L201" i="14"/>
  <c r="N200" i="14"/>
  <c r="Q200" i="14"/>
  <c r="L171" i="14"/>
  <c r="L170" i="14"/>
  <c r="A203" i="14" l="1"/>
  <c r="L202" i="14"/>
  <c r="Q201" i="14"/>
  <c r="N201" i="14"/>
  <c r="N172" i="14"/>
  <c r="L172" i="14"/>
  <c r="A204" i="14" l="1"/>
  <c r="L203" i="14"/>
  <c r="Q202" i="14"/>
  <c r="N202" i="14"/>
  <c r="L173" i="14"/>
  <c r="A205" i="14" l="1"/>
  <c r="L204" i="14"/>
  <c r="Q203" i="14"/>
  <c r="N203" i="14"/>
  <c r="N173" i="14"/>
  <c r="N174" i="14"/>
  <c r="L174" i="14"/>
  <c r="A206" i="14" l="1"/>
  <c r="L205" i="14"/>
  <c r="Q204" i="14"/>
  <c r="N204" i="14"/>
  <c r="L175" i="14"/>
  <c r="Q205" i="14" l="1"/>
  <c r="N205" i="14"/>
  <c r="V18" i="14"/>
  <c r="L206" i="14"/>
  <c r="A207" i="14"/>
  <c r="N175" i="14"/>
  <c r="L176" i="14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U15" i="14"/>
  <c r="U14" i="14"/>
  <c r="U13" i="14"/>
  <c r="U12" i="14"/>
  <c r="U11" i="14"/>
  <c r="U10" i="14"/>
  <c r="U9" i="14"/>
  <c r="U7" i="14"/>
  <c r="U6" i="14"/>
  <c r="U5" i="14"/>
  <c r="U4" i="14"/>
  <c r="U3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L207" i="14" l="1"/>
  <c r="A208" i="14"/>
  <c r="N206" i="14"/>
  <c r="Q206" i="14"/>
  <c r="K74" i="14"/>
  <c r="K82" i="14"/>
  <c r="K75" i="14"/>
  <c r="N75" i="14" s="1"/>
  <c r="K83" i="14"/>
  <c r="N83" i="14" s="1"/>
  <c r="K76" i="14"/>
  <c r="N76" i="14" s="1"/>
  <c r="K84" i="14"/>
  <c r="K77" i="14"/>
  <c r="N77" i="14" s="1"/>
  <c r="K85" i="14"/>
  <c r="N85" i="14" s="1"/>
  <c r="K78" i="14"/>
  <c r="N78" i="14" s="1"/>
  <c r="K81" i="14"/>
  <c r="K79" i="14"/>
  <c r="N79" i="14" s="1"/>
  <c r="K80" i="14"/>
  <c r="N80" i="14" s="1"/>
  <c r="K66" i="14"/>
  <c r="K62" i="14"/>
  <c r="K73" i="14"/>
  <c r="K65" i="14"/>
  <c r="K72" i="14"/>
  <c r="K64" i="14"/>
  <c r="K71" i="14"/>
  <c r="K63" i="14"/>
  <c r="K70" i="14"/>
  <c r="K68" i="14"/>
  <c r="K69" i="14"/>
  <c r="K67" i="14"/>
  <c r="K51" i="14"/>
  <c r="K53" i="14"/>
  <c r="K56" i="14"/>
  <c r="K55" i="14"/>
  <c r="K50" i="14"/>
  <c r="K52" i="14"/>
  <c r="K61" i="14"/>
  <c r="K59" i="14"/>
  <c r="K60" i="14"/>
  <c r="K57" i="14"/>
  <c r="K58" i="14"/>
  <c r="K54" i="14"/>
  <c r="N176" i="14"/>
  <c r="L177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4" i="14"/>
  <c r="N82" i="14"/>
  <c r="N81" i="14"/>
  <c r="N207" i="14" l="1"/>
  <c r="Q207" i="14"/>
  <c r="L208" i="14"/>
  <c r="A209" i="14"/>
  <c r="Q74" i="14"/>
  <c r="N74" i="14"/>
  <c r="N177" i="14"/>
  <c r="L178" i="14"/>
  <c r="N208" i="14" l="1"/>
  <c r="Q208" i="14"/>
  <c r="L209" i="14"/>
  <c r="A210" i="14"/>
  <c r="N178" i="14"/>
  <c r="L179" i="14"/>
  <c r="L210" i="14" l="1"/>
  <c r="A211" i="14"/>
  <c r="N209" i="14"/>
  <c r="Q209" i="14"/>
  <c r="N179" i="14"/>
  <c r="L180" i="14"/>
  <c r="A212" i="14" l="1"/>
  <c r="L211" i="14"/>
  <c r="Q210" i="14"/>
  <c r="N210" i="14"/>
  <c r="N180" i="14"/>
  <c r="G16" i="13"/>
  <c r="H16" i="13" s="1"/>
  <c r="L181" i="14"/>
  <c r="L212" i="14" l="1"/>
  <c r="A213" i="14"/>
  <c r="N211" i="14"/>
  <c r="Q211" i="14"/>
  <c r="V16" i="14"/>
  <c r="A214" i="14" l="1"/>
  <c r="L213" i="14"/>
  <c r="N212" i="14"/>
  <c r="Q212" i="14"/>
  <c r="B23" i="4"/>
  <c r="G36" i="10"/>
  <c r="G35" i="10"/>
  <c r="G34" i="10"/>
  <c r="G33" i="10"/>
  <c r="G32" i="10"/>
  <c r="G31" i="10"/>
  <c r="G30" i="10"/>
  <c r="G29" i="10"/>
  <c r="G28" i="10"/>
  <c r="G27" i="10"/>
  <c r="G26" i="10"/>
  <c r="G25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N213" i="14" l="1"/>
  <c r="Q213" i="14"/>
  <c r="L214" i="14"/>
  <c r="A215" i="14"/>
  <c r="I18" i="7"/>
  <c r="N214" i="14" l="1"/>
  <c r="Q214" i="14"/>
  <c r="A216" i="14"/>
  <c r="L215" i="14"/>
  <c r="B23" i="10"/>
  <c r="B8" i="10"/>
  <c r="B8" i="4"/>
  <c r="N215" i="14" l="1"/>
  <c r="Q215" i="14"/>
  <c r="L216" i="14"/>
  <c r="A217" i="14"/>
  <c r="K23" i="10"/>
  <c r="K8" i="10"/>
  <c r="K23" i="4"/>
  <c r="K8" i="4"/>
  <c r="N216" i="14" l="1"/>
  <c r="Q216" i="14"/>
  <c r="V19" i="14"/>
  <c r="L217" i="14"/>
  <c r="G12" i="3"/>
  <c r="J12" i="3"/>
  <c r="G13" i="3"/>
  <c r="J13" i="3"/>
  <c r="G14" i="3"/>
  <c r="J14" i="3"/>
  <c r="G15" i="3"/>
  <c r="J15" i="3"/>
  <c r="N217" i="14" l="1"/>
  <c r="Q217" i="14"/>
  <c r="L158" i="14"/>
  <c r="L159" i="14"/>
  <c r="L160" i="14"/>
  <c r="L161" i="14"/>
  <c r="L162" i="14"/>
  <c r="L163" i="14"/>
  <c r="L164" i="14"/>
  <c r="L165" i="14"/>
  <c r="L166" i="14"/>
  <c r="L167" i="14"/>
  <c r="L168" i="14"/>
  <c r="L169" i="14"/>
  <c r="G15" i="13" l="1"/>
  <c r="H15" i="13" s="1"/>
  <c r="I22" i="7" l="1"/>
  <c r="I23" i="7"/>
  <c r="I24" i="7"/>
  <c r="I25" i="7"/>
  <c r="I26" i="7"/>
  <c r="I27" i="7"/>
  <c r="I28" i="7"/>
  <c r="I19" i="7"/>
  <c r="I20" i="7"/>
  <c r="I21" i="7"/>
  <c r="L27" i="14" l="1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L150" i="14"/>
  <c r="L151" i="14"/>
  <c r="L152" i="14"/>
  <c r="L153" i="14"/>
  <c r="L154" i="14"/>
  <c r="L155" i="14"/>
  <c r="L156" i="14"/>
  <c r="L157" i="14"/>
  <c r="L26" i="14"/>
  <c r="G16" i="3" l="1"/>
  <c r="J16" i="3"/>
  <c r="N38" i="14" l="1"/>
  <c r="N39" i="14"/>
  <c r="N40" i="14"/>
  <c r="N44" i="14"/>
  <c r="N45" i="14"/>
  <c r="N46" i="14"/>
  <c r="N47" i="14"/>
  <c r="N48" i="14"/>
  <c r="N53" i="14"/>
  <c r="N54" i="14"/>
  <c r="N56" i="14"/>
  <c r="N62" i="14"/>
  <c r="N70" i="14"/>
  <c r="N72" i="14"/>
  <c r="N26" i="14"/>
  <c r="N27" i="14"/>
  <c r="N33" i="14"/>
  <c r="N41" i="14"/>
  <c r="O13" i="4" s="1"/>
  <c r="N42" i="14"/>
  <c r="N43" i="14"/>
  <c r="N49" i="14"/>
  <c r="N50" i="14"/>
  <c r="N51" i="14"/>
  <c r="N52" i="14"/>
  <c r="N55" i="14"/>
  <c r="N57" i="14"/>
  <c r="N58" i="14"/>
  <c r="O33" i="4" s="1"/>
  <c r="N59" i="14"/>
  <c r="N60" i="14"/>
  <c r="N61" i="14"/>
  <c r="N63" i="14"/>
  <c r="N64" i="14"/>
  <c r="N65" i="14"/>
  <c r="N66" i="14"/>
  <c r="N67" i="14"/>
  <c r="N68" i="14"/>
  <c r="N69" i="14"/>
  <c r="N71" i="14"/>
  <c r="N73" i="14"/>
  <c r="O14" i="4" l="1"/>
  <c r="O16" i="4"/>
  <c r="N28" i="14"/>
  <c r="N36" i="14"/>
  <c r="N35" i="14"/>
  <c r="N34" i="14"/>
  <c r="O20" i="4"/>
  <c r="O32" i="4"/>
  <c r="N31" i="14"/>
  <c r="O17" i="4"/>
  <c r="O25" i="4"/>
  <c r="O35" i="4"/>
  <c r="O12" i="4"/>
  <c r="O30" i="4"/>
  <c r="O15" i="4"/>
  <c r="O18" i="4"/>
  <c r="O10" i="4"/>
  <c r="O27" i="4"/>
  <c r="O31" i="4"/>
  <c r="O29" i="4"/>
  <c r="O21" i="4"/>
  <c r="O28" i="4"/>
  <c r="O26" i="4"/>
  <c r="O36" i="4"/>
  <c r="O11" i="4"/>
  <c r="O34" i="4"/>
  <c r="O19" i="4"/>
  <c r="N32" i="14"/>
  <c r="N37" i="14"/>
  <c r="N29" i="14"/>
  <c r="N30" i="14"/>
  <c r="V15" i="14" l="1"/>
  <c r="V14" i="14" l="1"/>
  <c r="G14" i="13" l="1"/>
  <c r="H14" i="13" l="1"/>
  <c r="AK24" i="14" l="1"/>
  <c r="AK29" i="14" s="1"/>
  <c r="AK34" i="14" s="1"/>
  <c r="AK39" i="14" s="1"/>
  <c r="AK44" i="14" s="1"/>
  <c r="AK25" i="14"/>
  <c r="AK30" i="14" s="1"/>
  <c r="AK35" i="14" s="1"/>
  <c r="AK40" i="14" s="1"/>
  <c r="AK45" i="14" s="1"/>
  <c r="AK26" i="14"/>
  <c r="AK31" i="14" s="1"/>
  <c r="AK36" i="14" s="1"/>
  <c r="AK41" i="14" s="1"/>
  <c r="AK46" i="14" s="1"/>
  <c r="AK27" i="14"/>
  <c r="AK32" i="14" s="1"/>
  <c r="AK37" i="14" s="1"/>
  <c r="AK42" i="14" s="1"/>
  <c r="AK47" i="14" s="1"/>
  <c r="AK23" i="14"/>
  <c r="AK28" i="14" s="1"/>
  <c r="AK33" i="14" s="1"/>
  <c r="AK38" i="14" s="1"/>
  <c r="AK43" i="14" s="1"/>
  <c r="AJ24" i="14"/>
  <c r="AJ25" i="14"/>
  <c r="AJ26" i="14"/>
  <c r="AJ27" i="14"/>
  <c r="AJ23" i="14"/>
  <c r="C28" i="6" l="1"/>
  <c r="C27" i="6"/>
  <c r="C26" i="6"/>
  <c r="C25" i="6"/>
  <c r="C24" i="6"/>
  <c r="C23" i="6"/>
  <c r="C22" i="6"/>
  <c r="C21" i="6"/>
  <c r="C20" i="6"/>
  <c r="C19" i="6"/>
  <c r="O19" i="6" s="1"/>
  <c r="C18" i="6"/>
  <c r="C17" i="6"/>
  <c r="C16" i="6"/>
  <c r="C15" i="6"/>
  <c r="C14" i="6"/>
  <c r="C13" i="6"/>
  <c r="C12" i="6"/>
  <c r="O18" i="6" l="1"/>
  <c r="K18" i="6"/>
  <c r="H18" i="6"/>
  <c r="K21" i="6"/>
  <c r="H21" i="6"/>
  <c r="K23" i="6"/>
  <c r="H23" i="6"/>
  <c r="K25" i="6"/>
  <c r="H25" i="6"/>
  <c r="K19" i="6"/>
  <c r="H19" i="6"/>
  <c r="K26" i="6"/>
  <c r="H26" i="6"/>
  <c r="K27" i="6"/>
  <c r="H27" i="6"/>
  <c r="I17" i="6"/>
  <c r="I16" i="6"/>
  <c r="I15" i="6"/>
  <c r="I14" i="6"/>
  <c r="I13" i="6"/>
  <c r="I12" i="6"/>
  <c r="K20" i="6"/>
  <c r="H20" i="6"/>
  <c r="K22" i="6"/>
  <c r="H22" i="6"/>
  <c r="K24" i="6"/>
  <c r="H24" i="6"/>
  <c r="K28" i="6"/>
  <c r="H28" i="6"/>
  <c r="C28" i="7"/>
  <c r="H28" i="7" l="1"/>
  <c r="K28" i="7"/>
  <c r="W19" i="6"/>
  <c r="W18" i="6"/>
  <c r="G18" i="6"/>
  <c r="H26" i="8"/>
  <c r="H25" i="8"/>
  <c r="H24" i="8"/>
  <c r="H23" i="8"/>
  <c r="H22" i="8"/>
  <c r="H21" i="8"/>
  <c r="H20" i="8"/>
  <c r="H19" i="8"/>
  <c r="G27" i="8"/>
  <c r="G26" i="8"/>
  <c r="G25" i="8"/>
  <c r="G24" i="8"/>
  <c r="G23" i="8"/>
  <c r="G22" i="8"/>
  <c r="G21" i="8"/>
  <c r="G20" i="8"/>
  <c r="G19" i="8"/>
  <c r="J28" i="6" l="1"/>
  <c r="H17" i="8"/>
  <c r="P17" i="8" s="1"/>
  <c r="H18" i="8"/>
  <c r="P18" i="8" s="1"/>
  <c r="G17" i="8"/>
  <c r="G18" i="8"/>
  <c r="H27" i="8"/>
  <c r="G28" i="6"/>
  <c r="D28" i="6" l="1"/>
  <c r="O18" i="8"/>
  <c r="T18" i="8"/>
  <c r="O17" i="8"/>
  <c r="T17" i="8"/>
  <c r="F27" i="8"/>
  <c r="S19" i="6"/>
  <c r="S18" i="6"/>
  <c r="F28" i="6" l="1"/>
  <c r="V13" i="14"/>
  <c r="E27" i="8" l="1"/>
  <c r="G13" i="13"/>
  <c r="H13" i="13" l="1"/>
  <c r="C38" i="1" l="1"/>
  <c r="I38" i="1" s="1"/>
  <c r="C37" i="1"/>
  <c r="I37" i="1" s="1"/>
  <c r="C36" i="1"/>
  <c r="I36" i="1" s="1"/>
  <c r="C35" i="1"/>
  <c r="I35" i="1" s="1"/>
  <c r="C34" i="1"/>
  <c r="I34" i="1" s="1"/>
  <c r="C33" i="1"/>
  <c r="I33" i="1" s="1"/>
  <c r="C32" i="1"/>
  <c r="I32" i="1" s="1"/>
  <c r="C31" i="1"/>
  <c r="I31" i="1" s="1"/>
  <c r="C30" i="1"/>
  <c r="I30" i="1" s="1"/>
  <c r="C29" i="1"/>
  <c r="I29" i="1" s="1"/>
  <c r="C28" i="1"/>
  <c r="I28" i="1" s="1"/>
  <c r="C27" i="1"/>
  <c r="I27" i="1" s="1"/>
  <c r="C23" i="1"/>
  <c r="I23" i="1" s="1"/>
  <c r="C22" i="1"/>
  <c r="I22" i="1" s="1"/>
  <c r="C21" i="1"/>
  <c r="I21" i="1" s="1"/>
  <c r="C20" i="1"/>
  <c r="I20" i="1" s="1"/>
  <c r="C19" i="1"/>
  <c r="I19" i="1" s="1"/>
  <c r="C18" i="1"/>
  <c r="I18" i="1" s="1"/>
  <c r="C17" i="1"/>
  <c r="I17" i="1" s="1"/>
  <c r="C16" i="1"/>
  <c r="I16" i="1" s="1"/>
  <c r="C15" i="1"/>
  <c r="I15" i="1" s="1"/>
  <c r="C14" i="1"/>
  <c r="I14" i="1" s="1"/>
  <c r="C13" i="1"/>
  <c r="I13" i="1" s="1"/>
  <c r="C12" i="1"/>
  <c r="I12" i="1" s="1"/>
  <c r="H28" i="9" l="1"/>
  <c r="C38" i="5"/>
  <c r="C23" i="5"/>
  <c r="C37" i="5"/>
  <c r="C22" i="5"/>
  <c r="C36" i="5"/>
  <c r="C21" i="5"/>
  <c r="C12" i="5"/>
  <c r="C35" i="5"/>
  <c r="C20" i="5"/>
  <c r="C34" i="5"/>
  <c r="C19" i="5"/>
  <c r="C33" i="5"/>
  <c r="C18" i="5"/>
  <c r="C32" i="5"/>
  <c r="C17" i="5"/>
  <c r="C27" i="5"/>
  <c r="C31" i="5"/>
  <c r="C16" i="5"/>
  <c r="C30" i="5"/>
  <c r="C15" i="5"/>
  <c r="C29" i="5"/>
  <c r="C14" i="5"/>
  <c r="C28" i="5"/>
  <c r="C13" i="5"/>
  <c r="G28" i="9"/>
  <c r="V12" i="14"/>
  <c r="V11" i="14"/>
  <c r="V10" i="14"/>
  <c r="V9" i="14"/>
  <c r="V7" i="14"/>
  <c r="AQ11" i="14" s="1"/>
  <c r="V6" i="14"/>
  <c r="AQ10" i="14" s="1"/>
  <c r="V5" i="14"/>
  <c r="AQ9" i="14" s="1"/>
  <c r="V4" i="14"/>
  <c r="AQ8" i="14" s="1"/>
  <c r="V3" i="14"/>
  <c r="AQ7" i="14" s="1"/>
  <c r="V2" i="14"/>
  <c r="AQ6" i="14" s="1"/>
  <c r="V20" i="14" l="1"/>
  <c r="G28" i="7"/>
  <c r="F28" i="9" s="1"/>
  <c r="J28" i="7"/>
  <c r="D28" i="7" s="1"/>
  <c r="E28" i="9" s="1"/>
  <c r="Y2" i="14"/>
  <c r="Z2" i="14" s="1"/>
  <c r="W2" i="14"/>
  <c r="G3" i="13"/>
  <c r="H3" i="13" s="1"/>
  <c r="G4" i="13"/>
  <c r="H4" i="13" s="1"/>
  <c r="G5" i="13"/>
  <c r="H5" i="13" s="1"/>
  <c r="G6" i="13"/>
  <c r="H6" i="13" s="1"/>
  <c r="G7" i="13"/>
  <c r="H7" i="13" s="1"/>
  <c r="G8" i="13"/>
  <c r="H8" i="13" s="1"/>
  <c r="G9" i="13"/>
  <c r="H9" i="13" s="1"/>
  <c r="G10" i="13"/>
  <c r="H10" i="13" s="1"/>
  <c r="G11" i="13"/>
  <c r="H11" i="13" s="1"/>
  <c r="G12" i="13"/>
  <c r="H12" i="13" s="1"/>
  <c r="G2" i="13"/>
  <c r="H2" i="13" l="1"/>
  <c r="F28" i="7"/>
  <c r="C12" i="10"/>
  <c r="P36" i="4" l="1"/>
  <c r="P35" i="4"/>
  <c r="P34" i="4"/>
  <c r="P33" i="4"/>
  <c r="P32" i="4"/>
  <c r="P31" i="4"/>
  <c r="P30" i="4"/>
  <c r="P29" i="4"/>
  <c r="P28" i="4"/>
  <c r="P27" i="4"/>
  <c r="P26" i="4"/>
  <c r="P25" i="4"/>
  <c r="P21" i="4"/>
  <c r="P20" i="4"/>
  <c r="P19" i="4"/>
  <c r="P18" i="4"/>
  <c r="P17" i="4"/>
  <c r="P16" i="4"/>
  <c r="P15" i="4"/>
  <c r="P14" i="4"/>
  <c r="P13" i="4"/>
  <c r="P12" i="4"/>
  <c r="P11" i="4"/>
  <c r="P10" i="4"/>
  <c r="E38" i="1"/>
  <c r="D37" i="1"/>
  <c r="E35" i="1"/>
  <c r="D35" i="1"/>
  <c r="E34" i="1"/>
  <c r="D33" i="1"/>
  <c r="E32" i="1"/>
  <c r="D32" i="1"/>
  <c r="E31" i="1"/>
  <c r="E30" i="1"/>
  <c r="D29" i="1"/>
  <c r="D28" i="1"/>
  <c r="E27" i="1"/>
  <c r="E23" i="1"/>
  <c r="D22" i="1"/>
  <c r="D21" i="1"/>
  <c r="D20" i="1"/>
  <c r="E19" i="1"/>
  <c r="D18" i="1"/>
  <c r="E16" i="1"/>
  <c r="D16" i="1"/>
  <c r="E15" i="1"/>
  <c r="E14" i="1"/>
  <c r="E13" i="1"/>
  <c r="D13" i="1"/>
  <c r="E12" i="1"/>
  <c r="D12" i="1"/>
  <c r="D38" i="5"/>
  <c r="E38" i="5"/>
  <c r="E37" i="5"/>
  <c r="E36" i="5"/>
  <c r="E34" i="5"/>
  <c r="E33" i="5"/>
  <c r="E31" i="5"/>
  <c r="E30" i="5"/>
  <c r="E29" i="5"/>
  <c r="E28" i="5"/>
  <c r="E23" i="5"/>
  <c r="D22" i="5"/>
  <c r="D20" i="5"/>
  <c r="E19" i="5"/>
  <c r="D18" i="5"/>
  <c r="E17" i="5"/>
  <c r="E15" i="5"/>
  <c r="D14" i="5"/>
  <c r="E12" i="5"/>
  <c r="Q34" i="10"/>
  <c r="M36" i="10"/>
  <c r="L36" i="10" s="1"/>
  <c r="O36" i="10" s="1"/>
  <c r="M35" i="10"/>
  <c r="M31" i="10"/>
  <c r="L31" i="10" s="1"/>
  <c r="O31" i="10" s="1"/>
  <c r="M27" i="10"/>
  <c r="L27" i="10" s="1"/>
  <c r="O27" i="10" s="1"/>
  <c r="M21" i="10"/>
  <c r="M20" i="10"/>
  <c r="L20" i="10" s="1"/>
  <c r="M19" i="10"/>
  <c r="L19" i="10" s="1"/>
  <c r="M17" i="10"/>
  <c r="L17" i="10" s="1"/>
  <c r="M16" i="10"/>
  <c r="M13" i="10"/>
  <c r="L13" i="10" s="1"/>
  <c r="M12" i="10"/>
  <c r="L12" i="10" s="1"/>
  <c r="Q33" i="10"/>
  <c r="Q30" i="10"/>
  <c r="Q29" i="10"/>
  <c r="Q26" i="10"/>
  <c r="Q25" i="10"/>
  <c r="Q18" i="10"/>
  <c r="Q15" i="10"/>
  <c r="Q14" i="10"/>
  <c r="Q11" i="10"/>
  <c r="Q10" i="10"/>
  <c r="C36" i="10"/>
  <c r="E36" i="10" s="1"/>
  <c r="F36" i="10" s="1"/>
  <c r="H35" i="10"/>
  <c r="H32" i="10"/>
  <c r="H31" i="10"/>
  <c r="C30" i="10"/>
  <c r="E30" i="10" s="1"/>
  <c r="F30" i="10" s="1"/>
  <c r="H28" i="10"/>
  <c r="H27" i="10"/>
  <c r="H26" i="10"/>
  <c r="H21" i="10"/>
  <c r="C20" i="10"/>
  <c r="H19" i="10"/>
  <c r="H18" i="10"/>
  <c r="H17" i="10"/>
  <c r="C16" i="10"/>
  <c r="H15" i="10"/>
  <c r="H14" i="10"/>
  <c r="H13" i="10"/>
  <c r="E12" i="10"/>
  <c r="C11" i="10"/>
  <c r="H10" i="10"/>
  <c r="M34" i="10"/>
  <c r="L34" i="10" s="1"/>
  <c r="O34" i="10" s="1"/>
  <c r="M33" i="10"/>
  <c r="M32" i="10"/>
  <c r="M30" i="10"/>
  <c r="L30" i="10" s="1"/>
  <c r="O30" i="10" s="1"/>
  <c r="M29" i="10"/>
  <c r="M28" i="10"/>
  <c r="M26" i="10"/>
  <c r="M25" i="10"/>
  <c r="M18" i="10"/>
  <c r="M15" i="10"/>
  <c r="M14" i="10"/>
  <c r="M11" i="10"/>
  <c r="L11" i="10" s="1"/>
  <c r="M10" i="10"/>
  <c r="O20" i="10" l="1"/>
  <c r="O17" i="10"/>
  <c r="O11" i="10"/>
  <c r="O12" i="10"/>
  <c r="O19" i="10"/>
  <c r="O13" i="10"/>
  <c r="F12" i="10"/>
  <c r="E16" i="10"/>
  <c r="E11" i="10"/>
  <c r="E20" i="10"/>
  <c r="C35" i="10"/>
  <c r="E35" i="10" s="1"/>
  <c r="F35" i="10" s="1"/>
  <c r="D19" i="5"/>
  <c r="D23" i="5"/>
  <c r="H16" i="10"/>
  <c r="D30" i="5"/>
  <c r="Q17" i="10"/>
  <c r="C31" i="10"/>
  <c r="H20" i="10"/>
  <c r="D17" i="5"/>
  <c r="D34" i="5"/>
  <c r="C21" i="10"/>
  <c r="H11" i="10"/>
  <c r="E14" i="5"/>
  <c r="C13" i="10"/>
  <c r="C27" i="10"/>
  <c r="E27" i="10" s="1"/>
  <c r="F27" i="10" s="1"/>
  <c r="H12" i="10"/>
  <c r="H36" i="10"/>
  <c r="L26" i="10"/>
  <c r="O26" i="10" s="1"/>
  <c r="D15" i="5"/>
  <c r="E22" i="5"/>
  <c r="C15" i="10"/>
  <c r="C17" i="10"/>
  <c r="C32" i="10"/>
  <c r="E32" i="10" s="1"/>
  <c r="F32" i="10" s="1"/>
  <c r="Q19" i="10"/>
  <c r="D29" i="5"/>
  <c r="D37" i="5"/>
  <c r="L28" i="10"/>
  <c r="O28" i="10" s="1"/>
  <c r="H25" i="10"/>
  <c r="C25" i="10"/>
  <c r="H29" i="10"/>
  <c r="C29" i="10"/>
  <c r="E29" i="10" s="1"/>
  <c r="F29" i="10" s="1"/>
  <c r="H33" i="10"/>
  <c r="C33" i="10"/>
  <c r="E33" i="10" s="1"/>
  <c r="F33" i="10" s="1"/>
  <c r="C10" i="10"/>
  <c r="L16" i="10"/>
  <c r="Q16" i="10"/>
  <c r="L35" i="10"/>
  <c r="O35" i="10" s="1"/>
  <c r="Q35" i="10"/>
  <c r="Q27" i="10"/>
  <c r="E16" i="5"/>
  <c r="D16" i="5"/>
  <c r="E27" i="5"/>
  <c r="D27" i="5"/>
  <c r="E35" i="5"/>
  <c r="D35" i="5"/>
  <c r="D12" i="5"/>
  <c r="E20" i="5"/>
  <c r="C34" i="10"/>
  <c r="E34" i="10" s="1"/>
  <c r="F34" i="10" s="1"/>
  <c r="C26" i="10"/>
  <c r="E26" i="10" s="1"/>
  <c r="F26" i="10" s="1"/>
  <c r="H30" i="10"/>
  <c r="Q21" i="10"/>
  <c r="L21" i="10"/>
  <c r="L32" i="10"/>
  <c r="O32" i="10" s="1"/>
  <c r="Q12" i="10"/>
  <c r="Q28" i="10"/>
  <c r="Q36" i="10"/>
  <c r="E13" i="5"/>
  <c r="D13" i="5"/>
  <c r="E21" i="5"/>
  <c r="D21" i="5"/>
  <c r="E32" i="5"/>
  <c r="D32" i="5"/>
  <c r="D17" i="1"/>
  <c r="E17" i="1"/>
  <c r="E20" i="1"/>
  <c r="C18" i="10"/>
  <c r="Q13" i="10"/>
  <c r="Q20" i="10"/>
  <c r="Q31" i="10"/>
  <c r="D31" i="5"/>
  <c r="D36" i="5"/>
  <c r="C28" i="10"/>
  <c r="E28" i="10" s="1"/>
  <c r="F28" i="10" s="1"/>
  <c r="C14" i="10"/>
  <c r="C19" i="10"/>
  <c r="H34" i="10"/>
  <c r="L15" i="10"/>
  <c r="Q32" i="10"/>
  <c r="D28" i="5"/>
  <c r="E28" i="1"/>
  <c r="D31" i="1"/>
  <c r="E18" i="5"/>
  <c r="D36" i="1"/>
  <c r="E36" i="1"/>
  <c r="D33" i="5"/>
  <c r="E21" i="1"/>
  <c r="D27" i="1"/>
  <c r="L10" i="10"/>
  <c r="L14" i="10"/>
  <c r="L18" i="10"/>
  <c r="L25" i="10"/>
  <c r="O25" i="10" s="1"/>
  <c r="L29" i="10"/>
  <c r="O29" i="10" s="1"/>
  <c r="L33" i="10"/>
  <c r="O33" i="10" s="1"/>
  <c r="D15" i="1"/>
  <c r="D23" i="1"/>
  <c r="D30" i="1"/>
  <c r="D34" i="1"/>
  <c r="D38" i="1"/>
  <c r="D14" i="1"/>
  <c r="E18" i="1"/>
  <c r="E22" i="1"/>
  <c r="E29" i="1"/>
  <c r="E33" i="1"/>
  <c r="E37" i="1"/>
  <c r="D19" i="1"/>
  <c r="N11" i="10"/>
  <c r="N12" i="10"/>
  <c r="N13" i="10"/>
  <c r="N17" i="10"/>
  <c r="N19" i="10"/>
  <c r="N20" i="10"/>
  <c r="N27" i="10"/>
  <c r="N30" i="10"/>
  <c r="N31" i="10"/>
  <c r="N34" i="10"/>
  <c r="N36" i="10"/>
  <c r="O15" i="10" l="1"/>
  <c r="O21" i="10"/>
  <c r="O16" i="10"/>
  <c r="O18" i="10"/>
  <c r="O14" i="10"/>
  <c r="F16" i="10"/>
  <c r="O10" i="10"/>
  <c r="F20" i="10"/>
  <c r="F11" i="10"/>
  <c r="E17" i="10"/>
  <c r="E13" i="10"/>
  <c r="E18" i="10"/>
  <c r="E15" i="10"/>
  <c r="E14" i="10"/>
  <c r="E19" i="10"/>
  <c r="E21" i="10"/>
  <c r="E25" i="10"/>
  <c r="F25" i="10" s="1"/>
  <c r="E31" i="10"/>
  <c r="F31" i="10" s="1"/>
  <c r="E10" i="10"/>
  <c r="N32" i="10"/>
  <c r="N28" i="10"/>
  <c r="N10" i="10"/>
  <c r="N26" i="10"/>
  <c r="N35" i="10"/>
  <c r="N15" i="10"/>
  <c r="N16" i="10"/>
  <c r="N29" i="10"/>
  <c r="N25" i="10"/>
  <c r="N33" i="10"/>
  <c r="N18" i="10"/>
  <c r="N14" i="10"/>
  <c r="N21" i="10"/>
  <c r="F21" i="10" l="1"/>
  <c r="F18" i="10"/>
  <c r="F13" i="10"/>
  <c r="F19" i="10"/>
  <c r="F14" i="10"/>
  <c r="F17" i="10"/>
  <c r="F10" i="10"/>
  <c r="F15" i="10"/>
  <c r="C27" i="7"/>
  <c r="C26" i="7"/>
  <c r="C25" i="7"/>
  <c r="C24" i="7"/>
  <c r="C23" i="7"/>
  <c r="C22" i="7"/>
  <c r="C21" i="7"/>
  <c r="C20" i="7"/>
  <c r="C19" i="7"/>
  <c r="K19" i="7" s="1"/>
  <c r="G19" i="7" s="1"/>
  <c r="C18" i="7"/>
  <c r="K18" i="7" s="1"/>
  <c r="C17" i="7"/>
  <c r="C16" i="7"/>
  <c r="C15" i="7"/>
  <c r="C14" i="7"/>
  <c r="C13" i="7"/>
  <c r="C12" i="7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27" i="2"/>
  <c r="C26" i="2"/>
  <c r="C25" i="2"/>
  <c r="C24" i="2"/>
  <c r="C23" i="2"/>
  <c r="C22" i="2"/>
  <c r="C21" i="2"/>
  <c r="C20" i="2"/>
  <c r="C19" i="2"/>
  <c r="C18" i="2"/>
  <c r="O18" i="2" s="1"/>
  <c r="C17" i="2"/>
  <c r="O17" i="2" s="1"/>
  <c r="B25" i="5"/>
  <c r="I33" i="5" s="1"/>
  <c r="B10" i="5"/>
  <c r="I18" i="5" s="1"/>
  <c r="B25" i="1"/>
  <c r="B10" i="1"/>
  <c r="D28" i="9"/>
  <c r="D27" i="9"/>
  <c r="D26" i="9"/>
  <c r="D25" i="9"/>
  <c r="D24" i="9"/>
  <c r="D23" i="9"/>
  <c r="D22" i="9"/>
  <c r="D21" i="9"/>
  <c r="D20" i="9"/>
  <c r="D19" i="9"/>
  <c r="L19" i="9" s="1"/>
  <c r="D18" i="9"/>
  <c r="L18" i="9" s="1"/>
  <c r="D17" i="9"/>
  <c r="D16" i="9"/>
  <c r="D15" i="9"/>
  <c r="D14" i="9"/>
  <c r="D13" i="9"/>
  <c r="D27" i="8"/>
  <c r="D26" i="8"/>
  <c r="D25" i="8"/>
  <c r="D24" i="8"/>
  <c r="D23" i="8"/>
  <c r="D22" i="8"/>
  <c r="D21" i="8"/>
  <c r="D20" i="8"/>
  <c r="D19" i="8"/>
  <c r="D18" i="8"/>
  <c r="L18" i="8" s="1"/>
  <c r="D16" i="8"/>
  <c r="D15" i="8"/>
  <c r="D14" i="8"/>
  <c r="D13" i="8"/>
  <c r="D12" i="8"/>
  <c r="D17" i="8"/>
  <c r="L17" i="8" s="1"/>
  <c r="B13" i="12"/>
  <c r="AY13" i="12" s="1"/>
  <c r="B14" i="12"/>
  <c r="AY14" i="12" s="1"/>
  <c r="B15" i="12"/>
  <c r="AY15" i="12" s="1"/>
  <c r="B16" i="12"/>
  <c r="AY16" i="12" s="1"/>
  <c r="B17" i="12"/>
  <c r="AY17" i="12" s="1"/>
  <c r="B18" i="12"/>
  <c r="AY18" i="12" s="1"/>
  <c r="B19" i="12"/>
  <c r="AY19" i="12" s="1"/>
  <c r="B20" i="12"/>
  <c r="AY20" i="12" s="1"/>
  <c r="B21" i="12"/>
  <c r="B22" i="12"/>
  <c r="B7" i="12"/>
  <c r="B8" i="12"/>
  <c r="B9" i="12"/>
  <c r="B10" i="12"/>
  <c r="B11" i="12"/>
  <c r="AY12" i="12"/>
  <c r="H22" i="7" l="1"/>
  <c r="G22" i="9" s="1"/>
  <c r="K22" i="7"/>
  <c r="H22" i="9" s="1"/>
  <c r="H20" i="7"/>
  <c r="G20" i="9" s="1"/>
  <c r="K20" i="7"/>
  <c r="H20" i="9" s="1"/>
  <c r="H23" i="7"/>
  <c r="G23" i="9" s="1"/>
  <c r="K23" i="7"/>
  <c r="H23" i="9" s="1"/>
  <c r="H21" i="7"/>
  <c r="G21" i="9" s="1"/>
  <c r="K21" i="7"/>
  <c r="H21" i="9" s="1"/>
  <c r="H24" i="7"/>
  <c r="G24" i="9" s="1"/>
  <c r="K24" i="7"/>
  <c r="H24" i="9" s="1"/>
  <c r="O17" i="3"/>
  <c r="F17" i="3"/>
  <c r="E17" i="3"/>
  <c r="D17" i="3"/>
  <c r="H17" i="3"/>
  <c r="H25" i="7"/>
  <c r="G25" i="9" s="1"/>
  <c r="K25" i="7"/>
  <c r="H25" i="9" s="1"/>
  <c r="H26" i="7"/>
  <c r="G26" i="9" s="1"/>
  <c r="K26" i="7"/>
  <c r="H26" i="9" s="1"/>
  <c r="H27" i="7"/>
  <c r="G27" i="9" s="1"/>
  <c r="K27" i="7"/>
  <c r="H27" i="9" s="1"/>
  <c r="H19" i="1"/>
  <c r="H18" i="1"/>
  <c r="H17" i="1"/>
  <c r="H16" i="1"/>
  <c r="H23" i="1"/>
  <c r="H15" i="1"/>
  <c r="H22" i="1"/>
  <c r="H14" i="1"/>
  <c r="H21" i="1"/>
  <c r="H13" i="1"/>
  <c r="H20" i="1"/>
  <c r="H12" i="1"/>
  <c r="H38" i="1"/>
  <c r="H30" i="1"/>
  <c r="H37" i="1"/>
  <c r="H29" i="1"/>
  <c r="H36" i="1"/>
  <c r="H28" i="1"/>
  <c r="H35" i="1"/>
  <c r="H27" i="1"/>
  <c r="H34" i="1"/>
  <c r="H33" i="1"/>
  <c r="H32" i="1"/>
  <c r="H31" i="1"/>
  <c r="D18" i="3"/>
  <c r="O18" i="3"/>
  <c r="H18" i="7"/>
  <c r="W18" i="7" s="1"/>
  <c r="O18" i="7"/>
  <c r="H19" i="7"/>
  <c r="O19" i="7"/>
  <c r="AY21" i="12"/>
  <c r="I17" i="7"/>
  <c r="I16" i="7"/>
  <c r="I15" i="7"/>
  <c r="I14" i="7"/>
  <c r="I13" i="7"/>
  <c r="I12" i="7"/>
  <c r="D17" i="2"/>
  <c r="E17" i="2"/>
  <c r="H17" i="2"/>
  <c r="F17" i="2"/>
  <c r="D25" i="2"/>
  <c r="E25" i="2"/>
  <c r="F25" i="2"/>
  <c r="H25" i="2"/>
  <c r="D26" i="2"/>
  <c r="E26" i="2"/>
  <c r="F26" i="2"/>
  <c r="H26" i="2"/>
  <c r="F27" i="2"/>
  <c r="D27" i="2"/>
  <c r="E27" i="2"/>
  <c r="H27" i="2"/>
  <c r="H18" i="2"/>
  <c r="D18" i="2"/>
  <c r="E18" i="2"/>
  <c r="F18" i="2"/>
  <c r="D19" i="2"/>
  <c r="H19" i="2"/>
  <c r="E19" i="2"/>
  <c r="F19" i="2"/>
  <c r="F20" i="2"/>
  <c r="H20" i="2"/>
  <c r="D20" i="2"/>
  <c r="E20" i="2"/>
  <c r="F21" i="2"/>
  <c r="H21" i="2"/>
  <c r="D21" i="2"/>
  <c r="E21" i="2"/>
  <c r="E22" i="2"/>
  <c r="F22" i="2"/>
  <c r="H22" i="2"/>
  <c r="D22" i="2"/>
  <c r="E23" i="2"/>
  <c r="D23" i="2"/>
  <c r="F23" i="2"/>
  <c r="H23" i="2"/>
  <c r="D24" i="2"/>
  <c r="E24" i="2"/>
  <c r="F24" i="2"/>
  <c r="H24" i="2"/>
  <c r="F13" i="3"/>
  <c r="D13" i="3"/>
  <c r="H13" i="3"/>
  <c r="E13" i="3"/>
  <c r="D21" i="3"/>
  <c r="H21" i="3"/>
  <c r="E21" i="3"/>
  <c r="F21" i="3"/>
  <c r="D14" i="3"/>
  <c r="H14" i="3"/>
  <c r="E14" i="3"/>
  <c r="F14" i="3"/>
  <c r="H22" i="3"/>
  <c r="F22" i="3"/>
  <c r="E22" i="3"/>
  <c r="D22" i="3"/>
  <c r="H15" i="3"/>
  <c r="F15" i="3"/>
  <c r="D15" i="3"/>
  <c r="E15" i="3"/>
  <c r="D23" i="3"/>
  <c r="F23" i="3"/>
  <c r="E23" i="3"/>
  <c r="H23" i="3"/>
  <c r="E16" i="3"/>
  <c r="H16" i="3"/>
  <c r="F16" i="3"/>
  <c r="D24" i="3"/>
  <c r="H24" i="3"/>
  <c r="F24" i="3"/>
  <c r="E24" i="3"/>
  <c r="F25" i="3"/>
  <c r="E25" i="3"/>
  <c r="H25" i="3"/>
  <c r="D25" i="3"/>
  <c r="E18" i="3"/>
  <c r="H18" i="3"/>
  <c r="F18" i="3"/>
  <c r="E26" i="3"/>
  <c r="H26" i="3"/>
  <c r="F26" i="3"/>
  <c r="D26" i="3"/>
  <c r="E19" i="3"/>
  <c r="D19" i="3"/>
  <c r="F19" i="3"/>
  <c r="H19" i="3"/>
  <c r="D27" i="3"/>
  <c r="E27" i="3"/>
  <c r="H27" i="3"/>
  <c r="F27" i="3"/>
  <c r="D12" i="3"/>
  <c r="E12" i="3"/>
  <c r="F12" i="3"/>
  <c r="H12" i="3"/>
  <c r="D20" i="3"/>
  <c r="F20" i="3"/>
  <c r="H20" i="3"/>
  <c r="E20" i="3"/>
  <c r="G20" i="6"/>
  <c r="J20" i="6"/>
  <c r="G21" i="6"/>
  <c r="J21" i="6"/>
  <c r="G22" i="6"/>
  <c r="J22" i="6"/>
  <c r="J23" i="6"/>
  <c r="G23" i="6"/>
  <c r="J24" i="6"/>
  <c r="G24" i="6"/>
  <c r="G25" i="6"/>
  <c r="J25" i="6"/>
  <c r="J26" i="6"/>
  <c r="G26" i="6"/>
  <c r="G19" i="6"/>
  <c r="J19" i="6"/>
  <c r="G27" i="6"/>
  <c r="J27" i="6"/>
  <c r="I17" i="3" l="1"/>
  <c r="AZ23" i="12"/>
  <c r="F25" i="8"/>
  <c r="F24" i="8"/>
  <c r="F23" i="8"/>
  <c r="F19" i="8"/>
  <c r="F26" i="8"/>
  <c r="F21" i="8"/>
  <c r="F22" i="8"/>
  <c r="F20" i="8"/>
  <c r="I13" i="3"/>
  <c r="K13" i="3" s="1"/>
  <c r="I15" i="3"/>
  <c r="K15" i="3" s="1"/>
  <c r="I14" i="3"/>
  <c r="K14" i="3" s="1"/>
  <c r="I12" i="3"/>
  <c r="K12" i="3" s="1"/>
  <c r="I23" i="3"/>
  <c r="J14" i="2"/>
  <c r="L14" i="2" s="1"/>
  <c r="J12" i="2"/>
  <c r="L12" i="2" s="1"/>
  <c r="I27" i="3"/>
  <c r="I18" i="3"/>
  <c r="I24" i="3"/>
  <c r="I20" i="3"/>
  <c r="I25" i="3"/>
  <c r="D16" i="3"/>
  <c r="I16" i="3" s="1"/>
  <c r="K16" i="3" s="1"/>
  <c r="J16" i="2"/>
  <c r="L16" i="2" s="1"/>
  <c r="G18" i="9"/>
  <c r="V18" i="9" s="1"/>
  <c r="I22" i="3"/>
  <c r="H18" i="9"/>
  <c r="P18" i="9" s="1"/>
  <c r="W19" i="7"/>
  <c r="G19" i="9"/>
  <c r="V19" i="9" s="1"/>
  <c r="I19" i="3"/>
  <c r="I26" i="3"/>
  <c r="I21" i="3"/>
  <c r="J13" i="2"/>
  <c r="L13" i="2" s="1"/>
  <c r="H19" i="9"/>
  <c r="P19" i="9" s="1"/>
  <c r="J15" i="2"/>
  <c r="L15" i="2" s="1"/>
  <c r="F18" i="8"/>
  <c r="N18" i="8" s="1"/>
  <c r="F17" i="8"/>
  <c r="N17" i="8" s="1"/>
  <c r="D26" i="6"/>
  <c r="D22" i="6"/>
  <c r="D23" i="6"/>
  <c r="D21" i="6"/>
  <c r="D24" i="6"/>
  <c r="D25" i="6"/>
  <c r="D27" i="6"/>
  <c r="D20" i="6"/>
  <c r="R19" i="6"/>
  <c r="D19" i="6"/>
  <c r="J25" i="7"/>
  <c r="G25" i="7"/>
  <c r="G27" i="7"/>
  <c r="G21" i="7"/>
  <c r="G23" i="7"/>
  <c r="G20" i="7"/>
  <c r="J22" i="7"/>
  <c r="J27" i="7"/>
  <c r="J21" i="7"/>
  <c r="J18" i="7"/>
  <c r="J20" i="7"/>
  <c r="J19" i="7"/>
  <c r="G26" i="7"/>
  <c r="G24" i="7"/>
  <c r="J23" i="7"/>
  <c r="G18" i="7"/>
  <c r="G22" i="7"/>
  <c r="J26" i="7"/>
  <c r="J24" i="7"/>
  <c r="J18" i="6"/>
  <c r="D23" i="7" l="1"/>
  <c r="D22" i="7"/>
  <c r="F22" i="7" s="1"/>
  <c r="F22" i="9"/>
  <c r="D27" i="7"/>
  <c r="D25" i="7"/>
  <c r="F23" i="9"/>
  <c r="F21" i="9"/>
  <c r="D21" i="7"/>
  <c r="F24" i="9"/>
  <c r="F20" i="9"/>
  <c r="D19" i="7"/>
  <c r="D26" i="7"/>
  <c r="D20" i="7"/>
  <c r="F27" i="9"/>
  <c r="F26" i="9"/>
  <c r="D24" i="7"/>
  <c r="D18" i="7"/>
  <c r="F25" i="9"/>
  <c r="U19" i="6"/>
  <c r="F20" i="6"/>
  <c r="F25" i="6"/>
  <c r="F22" i="6"/>
  <c r="F26" i="6"/>
  <c r="F24" i="6"/>
  <c r="F23" i="6"/>
  <c r="F21" i="6"/>
  <c r="O19" i="9"/>
  <c r="J33" i="5"/>
  <c r="R18" i="7"/>
  <c r="J18" i="5"/>
  <c r="F27" i="6"/>
  <c r="S18" i="7"/>
  <c r="R19" i="7"/>
  <c r="T18" i="9"/>
  <c r="O18" i="9"/>
  <c r="S19" i="7"/>
  <c r="Q18" i="6"/>
  <c r="F18" i="9"/>
  <c r="N18" i="9" s="1"/>
  <c r="F19" i="9"/>
  <c r="N19" i="9" s="1"/>
  <c r="Q19" i="6"/>
  <c r="R18" i="6"/>
  <c r="F19" i="6"/>
  <c r="D18" i="6"/>
  <c r="T19" i="9"/>
  <c r="F20" i="7" l="1"/>
  <c r="F25" i="7"/>
  <c r="F26" i="7"/>
  <c r="F27" i="7"/>
  <c r="F18" i="7"/>
  <c r="F23" i="7"/>
  <c r="E18" i="9"/>
  <c r="P18" i="7" s="1"/>
  <c r="E25" i="8"/>
  <c r="E19" i="9"/>
  <c r="M19" i="9" s="1"/>
  <c r="U19" i="7"/>
  <c r="F19" i="7"/>
  <c r="E19" i="8"/>
  <c r="E26" i="9"/>
  <c r="E24" i="9"/>
  <c r="E21" i="9"/>
  <c r="E24" i="8"/>
  <c r="E22" i="9"/>
  <c r="E27" i="9"/>
  <c r="F24" i="7"/>
  <c r="F21" i="7"/>
  <c r="U18" i="7"/>
  <c r="E20" i="9"/>
  <c r="E25" i="9"/>
  <c r="E23" i="9"/>
  <c r="E21" i="8"/>
  <c r="E22" i="8"/>
  <c r="E26" i="8"/>
  <c r="U18" i="6"/>
  <c r="E20" i="8"/>
  <c r="E23" i="8"/>
  <c r="E18" i="8"/>
  <c r="P19" i="6" s="1"/>
  <c r="Q18" i="7"/>
  <c r="Q19" i="7"/>
  <c r="F18" i="6"/>
  <c r="E17" i="8" s="1"/>
  <c r="P18" i="6" s="1"/>
  <c r="P19" i="7" l="1"/>
  <c r="R18" i="9"/>
  <c r="M18" i="9"/>
  <c r="R19" i="9"/>
  <c r="M18" i="8"/>
  <c r="R18" i="8"/>
  <c r="R17" i="8"/>
  <c r="M17" i="8" l="1"/>
  <c r="Y3" i="14" l="1"/>
  <c r="Z3" i="14" s="1"/>
  <c r="W3" i="14"/>
  <c r="Y8" i="14" l="1"/>
  <c r="Z8" i="14" s="1"/>
  <c r="Y7" i="14" l="1"/>
  <c r="Z7" i="14" s="1"/>
  <c r="W7" i="14"/>
  <c r="Y6" i="14"/>
  <c r="Z6" i="14" s="1"/>
  <c r="W6" i="14"/>
  <c r="Y5" i="14"/>
  <c r="Z5" i="14" s="1"/>
  <c r="W5" i="14"/>
  <c r="Y4" i="14" l="1"/>
  <c r="Z4" i="14" s="1"/>
  <c r="W4" i="14"/>
  <c r="N181" i="14" l="1"/>
  <c r="T37" i="14" l="1"/>
  <c r="T36" i="14"/>
  <c r="T26" i="14"/>
  <c r="T35" i="14" l="1"/>
  <c r="T33" i="14" l="1"/>
  <c r="T34" i="14"/>
  <c r="Q172" i="14"/>
  <c r="Q79" i="14" l="1"/>
  <c r="Q81" i="14"/>
  <c r="Q60" i="14"/>
  <c r="Q82" i="14"/>
  <c r="Q56" i="14"/>
  <c r="U31" i="14"/>
  <c r="T32" i="14"/>
  <c r="Q108" i="14"/>
  <c r="Q52" i="14"/>
  <c r="Q75" i="14"/>
  <c r="T31" i="14"/>
  <c r="Q98" i="14"/>
  <c r="Q61" i="14"/>
  <c r="Q53" i="14"/>
  <c r="Q99" i="14"/>
  <c r="Q103" i="14"/>
  <c r="Q101" i="14"/>
  <c r="Q78" i="14"/>
  <c r="Q77" i="14"/>
  <c r="Q102" i="14"/>
  <c r="Q64" i="14"/>
  <c r="Q107" i="14"/>
  <c r="Q57" i="14"/>
  <c r="Q51" i="14"/>
  <c r="F11" i="4" s="1"/>
  <c r="G11" i="4" s="1"/>
  <c r="T27" i="14"/>
  <c r="Q50" i="14"/>
  <c r="Q55" i="14"/>
  <c r="Q84" i="14"/>
  <c r="Q83" i="14"/>
  <c r="Q106" i="14"/>
  <c r="T30" i="14"/>
  <c r="Q58" i="14"/>
  <c r="F18" i="4" s="1"/>
  <c r="G18" i="4" s="1"/>
  <c r="Q59" i="14"/>
  <c r="Q109" i="14"/>
  <c r="U27" i="14"/>
  <c r="Q100" i="14"/>
  <c r="T28" i="14"/>
  <c r="Q76" i="14"/>
  <c r="Q80" i="14"/>
  <c r="Q105" i="14"/>
  <c r="Q54" i="14"/>
  <c r="Q85" i="14"/>
  <c r="Q104" i="14"/>
  <c r="Q137" i="14"/>
  <c r="Q128" i="14"/>
  <c r="Q140" i="14"/>
  <c r="Q153" i="14"/>
  <c r="Q127" i="14"/>
  <c r="Q135" i="14"/>
  <c r="Q147" i="14"/>
  <c r="Q116" i="14"/>
  <c r="Q91" i="14"/>
  <c r="Q166" i="14"/>
  <c r="Q162" i="14"/>
  <c r="Q87" i="14"/>
  <c r="Q63" i="14"/>
  <c r="Q125" i="14"/>
  <c r="Q156" i="14"/>
  <c r="Q117" i="14"/>
  <c r="Q73" i="14"/>
  <c r="Q130" i="14"/>
  <c r="Q70" i="14"/>
  <c r="Q165" i="14"/>
  <c r="Q131" i="14"/>
  <c r="Q129" i="14"/>
  <c r="Q142" i="14"/>
  <c r="Q180" i="14"/>
  <c r="Q72" i="14"/>
  <c r="Q179" i="14"/>
  <c r="Q68" i="14"/>
  <c r="Q181" i="14"/>
  <c r="Q114" i="14"/>
  <c r="Q178" i="14"/>
  <c r="Q111" i="14"/>
  <c r="Q174" i="14"/>
  <c r="Q168" i="14"/>
  <c r="Q177" i="14"/>
  <c r="Q145" i="14"/>
  <c r="Q141" i="14"/>
  <c r="Q159" i="14"/>
  <c r="Q93" i="14"/>
  <c r="Q86" i="14"/>
  <c r="Q119" i="14"/>
  <c r="Q163" i="14"/>
  <c r="Q167" i="14"/>
  <c r="Q161" i="14"/>
  <c r="Q69" i="14"/>
  <c r="Q164" i="14"/>
  <c r="Q96" i="14"/>
  <c r="Q171" i="14"/>
  <c r="Q160" i="14"/>
  <c r="Q169" i="14"/>
  <c r="Q144" i="14"/>
  <c r="Q90" i="14"/>
  <c r="Q65" i="14"/>
  <c r="Q66" i="14"/>
  <c r="Q139" i="14"/>
  <c r="Q143" i="14"/>
  <c r="Q118" i="14"/>
  <c r="Q152" i="14"/>
  <c r="Q148" i="14"/>
  <c r="Q97" i="14"/>
  <c r="Q155" i="14"/>
  <c r="Q151" i="14"/>
  <c r="Q94" i="14"/>
  <c r="Q133" i="14"/>
  <c r="Q176" i="14"/>
  <c r="Q157" i="14"/>
  <c r="Q71" i="14"/>
  <c r="Q67" i="14"/>
  <c r="Q132" i="14"/>
  <c r="Q154" i="14"/>
  <c r="Q175" i="14"/>
  <c r="Q95" i="14"/>
  <c r="Q173" i="14"/>
  <c r="Q88" i="14"/>
  <c r="Q136" i="14"/>
  <c r="Q150" i="14"/>
  <c r="Q138" i="14"/>
  <c r="Q149" i="14"/>
  <c r="Q92" i="14"/>
  <c r="Q89" i="14"/>
  <c r="Q120" i="14"/>
  <c r="Q112" i="14"/>
  <c r="Q123" i="14"/>
  <c r="Q124" i="14"/>
  <c r="Q126" i="14"/>
  <c r="Q121" i="14"/>
  <c r="Q113" i="14"/>
  <c r="F30" i="4" l="1"/>
  <c r="G30" i="4" s="1"/>
  <c r="F35" i="4"/>
  <c r="G35" i="4" s="1"/>
  <c r="F28" i="4"/>
  <c r="G28" i="4" s="1"/>
  <c r="F29" i="4"/>
  <c r="G29" i="4" s="1"/>
  <c r="F32" i="4"/>
  <c r="G32" i="4" s="1"/>
  <c r="F26" i="4"/>
  <c r="G26" i="4" s="1"/>
  <c r="F36" i="4"/>
  <c r="G36" i="4" s="1"/>
  <c r="F34" i="4"/>
  <c r="G34" i="4" s="1"/>
  <c r="F33" i="4"/>
  <c r="G33" i="4" s="1"/>
  <c r="F17" i="4"/>
  <c r="G17" i="4" s="1"/>
  <c r="F13" i="4"/>
  <c r="G13" i="4" s="1"/>
  <c r="F27" i="4"/>
  <c r="G27" i="4" s="1"/>
  <c r="F21" i="4"/>
  <c r="G21" i="4" s="1"/>
  <c r="F16" i="4"/>
  <c r="G16" i="4" s="1"/>
  <c r="F14" i="4"/>
  <c r="G14" i="4" s="1"/>
  <c r="F15" i="4"/>
  <c r="G15" i="4" s="1"/>
  <c r="F20" i="4"/>
  <c r="G20" i="4" s="1"/>
  <c r="F31" i="4"/>
  <c r="G31" i="4" s="1"/>
  <c r="F19" i="4"/>
  <c r="G19" i="4" s="1"/>
  <c r="F12" i="4"/>
  <c r="G12" i="4" s="1"/>
  <c r="U33" i="14"/>
  <c r="Q122" i="14"/>
  <c r="Q115" i="14"/>
  <c r="U34" i="14"/>
  <c r="Q134" i="14"/>
  <c r="U28" i="14"/>
  <c r="U35" i="14"/>
  <c r="Q146" i="14"/>
  <c r="U37" i="14"/>
  <c r="Q170" i="14"/>
  <c r="U36" i="14"/>
  <c r="Q158" i="14"/>
  <c r="Q110" i="14"/>
  <c r="Q62" i="14"/>
  <c r="F25" i="4" s="1"/>
  <c r="G25" i="4" s="1"/>
  <c r="U30" i="14"/>
  <c r="I18" i="2" l="1"/>
  <c r="J18" i="2" s="1"/>
  <c r="I25" i="2"/>
  <c r="J25" i="2" s="1"/>
  <c r="F10" i="4"/>
  <c r="G10" i="4" s="1"/>
  <c r="I26" i="2"/>
  <c r="J26" i="2" s="1"/>
  <c r="I23" i="2"/>
  <c r="J23" i="2" s="1"/>
  <c r="I17" i="2"/>
  <c r="J17" i="2" s="1"/>
  <c r="U32" i="14"/>
  <c r="I20" i="2" s="1"/>
  <c r="J20" i="2" s="1"/>
  <c r="I24" i="2"/>
  <c r="J24" i="2" s="1"/>
  <c r="I19" i="2" l="1"/>
  <c r="J19" i="2" s="1"/>
  <c r="I22" i="2"/>
  <c r="J22" i="2" s="1"/>
  <c r="I21" i="2"/>
  <c r="J21" i="2" s="1"/>
  <c r="Q22" i="14" l="1"/>
  <c r="T24" i="14"/>
  <c r="T25" i="14"/>
  <c r="T23" i="14"/>
  <c r="Q17" i="14"/>
  <c r="Q21" i="14"/>
  <c r="Q20" i="14"/>
  <c r="Q19" i="14"/>
  <c r="Q16" i="14"/>
  <c r="Q24" i="14"/>
  <c r="Q18" i="14"/>
  <c r="Q23" i="14"/>
  <c r="Q15" i="14"/>
  <c r="Q25" i="14"/>
  <c r="T40" i="14" l="1"/>
  <c r="U23" i="14"/>
  <c r="U24" i="14"/>
  <c r="Q14" i="14"/>
  <c r="Q44" i="14"/>
  <c r="Q47" i="14"/>
  <c r="Q39" i="14"/>
  <c r="Q49" i="14"/>
  <c r="Q42" i="14"/>
  <c r="Q48" i="14"/>
  <c r="Q45" i="14"/>
  <c r="Q41" i="14"/>
  <c r="Q40" i="14"/>
  <c r="Q46" i="14"/>
  <c r="Q43" i="14"/>
  <c r="Q37" i="14"/>
  <c r="Q34" i="14"/>
  <c r="Q31" i="14"/>
  <c r="Q35" i="14"/>
  <c r="Q30" i="14"/>
  <c r="Q27" i="14"/>
  <c r="Q36" i="14"/>
  <c r="Q32" i="14"/>
  <c r="Q28" i="14"/>
  <c r="Q33" i="14"/>
  <c r="Q29" i="14"/>
  <c r="U25" i="14" l="1"/>
  <c r="Q26" i="14"/>
  <c r="U26" i="14"/>
  <c r="Q38" i="14"/>
  <c r="U40" i="14" l="1"/>
  <c r="I27" i="2" s="1"/>
  <c r="J27" i="2" s="1"/>
  <c r="H14" i="7" l="1"/>
  <c r="H14" i="6"/>
  <c r="H16" i="6"/>
  <c r="H16" i="7"/>
  <c r="H13" i="6"/>
  <c r="H13" i="7"/>
  <c r="K12" i="6"/>
  <c r="K12" i="7"/>
  <c r="H12" i="6"/>
  <c r="H12" i="7"/>
  <c r="K16" i="7"/>
  <c r="K16" i="6"/>
  <c r="J12" i="7" l="1"/>
  <c r="D12" i="7" s="1"/>
  <c r="G12" i="7"/>
  <c r="G12" i="6"/>
  <c r="J12" i="6"/>
  <c r="H15" i="6"/>
  <c r="H15" i="7"/>
  <c r="G14" i="9"/>
  <c r="J14" i="7"/>
  <c r="J13" i="6"/>
  <c r="G12" i="8"/>
  <c r="G16" i="6"/>
  <c r="H15" i="8"/>
  <c r="K14" i="6"/>
  <c r="K14" i="7"/>
  <c r="G16" i="7"/>
  <c r="H16" i="9"/>
  <c r="J16" i="6"/>
  <c r="G15" i="8"/>
  <c r="J14" i="6"/>
  <c r="G13" i="8"/>
  <c r="G16" i="9"/>
  <c r="J16" i="7"/>
  <c r="K15" i="7"/>
  <c r="K15" i="6"/>
  <c r="G13" i="9"/>
  <c r="J13" i="7"/>
  <c r="K13" i="6"/>
  <c r="K13" i="7"/>
  <c r="D14" i="7" l="1"/>
  <c r="F14" i="7" s="1"/>
  <c r="D13" i="7"/>
  <c r="F13" i="7" s="1"/>
  <c r="F16" i="9"/>
  <c r="D16" i="7"/>
  <c r="D14" i="6"/>
  <c r="F15" i="8"/>
  <c r="D12" i="6"/>
  <c r="D16" i="6"/>
  <c r="D13" i="6"/>
  <c r="G14" i="7"/>
  <c r="H14" i="9"/>
  <c r="J15" i="7"/>
  <c r="G15" i="9"/>
  <c r="H15" i="9"/>
  <c r="G15" i="7"/>
  <c r="J15" i="6"/>
  <c r="G14" i="8"/>
  <c r="G15" i="6"/>
  <c r="H14" i="8"/>
  <c r="G13" i="7"/>
  <c r="H13" i="9"/>
  <c r="H12" i="8"/>
  <c r="G13" i="6"/>
  <c r="H13" i="8"/>
  <c r="G14" i="6"/>
  <c r="E13" i="9" l="1"/>
  <c r="E14" i="9"/>
  <c r="D15" i="7"/>
  <c r="E15" i="9" s="1"/>
  <c r="F16" i="7"/>
  <c r="F13" i="9"/>
  <c r="F15" i="9"/>
  <c r="E16" i="9"/>
  <c r="F14" i="9"/>
  <c r="F12" i="7"/>
  <c r="F16" i="6"/>
  <c r="F12" i="8"/>
  <c r="D15" i="6"/>
  <c r="F13" i="8"/>
  <c r="F12" i="6"/>
  <c r="F14" i="8"/>
  <c r="F13" i="6"/>
  <c r="F14" i="6"/>
  <c r="F15" i="7" l="1"/>
  <c r="E12" i="8"/>
  <c r="F15" i="6"/>
  <c r="E13" i="8"/>
  <c r="E15" i="8"/>
  <c r="E14" i="8" l="1"/>
  <c r="K17" i="6" l="1"/>
  <c r="K17" i="7"/>
  <c r="G17" i="7" l="1"/>
  <c r="F17" i="9" s="1"/>
  <c r="H17" i="9"/>
  <c r="G17" i="6"/>
  <c r="F16" i="8" s="1"/>
  <c r="H16" i="8"/>
  <c r="Y17" i="14" l="1"/>
  <c r="Z17" i="14" s="1"/>
  <c r="K25" i="2" s="1"/>
  <c r="W17" i="14"/>
  <c r="AU20" i="12" s="1"/>
  <c r="AQ20" i="12" s="1"/>
  <c r="Y16" i="14"/>
  <c r="Z16" i="14" s="1"/>
  <c r="W16" i="14"/>
  <c r="AU19" i="12" s="1"/>
  <c r="AQ19" i="12" s="1"/>
  <c r="W12" i="14"/>
  <c r="AU15" i="12" s="1"/>
  <c r="AQ15" i="12" s="1"/>
  <c r="Y12" i="14"/>
  <c r="Z12" i="14" s="1"/>
  <c r="K20" i="2" s="1"/>
  <c r="W18" i="14"/>
  <c r="AU21" i="12" s="1"/>
  <c r="AQ21" i="12" s="1"/>
  <c r="Y18" i="14"/>
  <c r="Z18" i="14" s="1"/>
  <c r="K26" i="2" s="1"/>
  <c r="W13" i="14"/>
  <c r="AU16" i="12" s="1"/>
  <c r="AQ16" i="12" s="1"/>
  <c r="Y13" i="14"/>
  <c r="Z13" i="14" s="1"/>
  <c r="K21" i="2" s="1"/>
  <c r="Y14" i="14"/>
  <c r="Z14" i="14" s="1"/>
  <c r="K22" i="2" s="1"/>
  <c r="W14" i="14"/>
  <c r="AU17" i="12" s="1"/>
  <c r="AQ17" i="12" s="1"/>
  <c r="W19" i="14"/>
  <c r="AU22" i="12" s="1"/>
  <c r="AQ22" i="12" s="1"/>
  <c r="Y19" i="14"/>
  <c r="Z19" i="14" s="1"/>
  <c r="K27" i="2" s="1"/>
  <c r="Y10" i="14"/>
  <c r="Z10" i="14" s="1"/>
  <c r="K18" i="2" s="1"/>
  <c r="W10" i="14"/>
  <c r="AU13" i="12" s="1"/>
  <c r="AQ13" i="12" s="1"/>
  <c r="Y11" i="14"/>
  <c r="Z11" i="14" s="1"/>
  <c r="K19" i="2" s="1"/>
  <c r="W11" i="14"/>
  <c r="AU14" i="12" s="1"/>
  <c r="AQ14" i="12" s="1"/>
  <c r="Y15" i="14"/>
  <c r="Z15" i="14" s="1"/>
  <c r="W15" i="14"/>
  <c r="AU18" i="12" s="1"/>
  <c r="AQ18" i="12" s="1"/>
  <c r="Y9" i="14"/>
  <c r="Z9" i="14" s="1"/>
  <c r="K17" i="2" s="1"/>
  <c r="W9" i="14"/>
  <c r="L26" i="2" l="1"/>
  <c r="J26" i="3"/>
  <c r="K26" i="3" s="1"/>
  <c r="AU12" i="12"/>
  <c r="AQ12" i="12" s="1"/>
  <c r="J27" i="3"/>
  <c r="K27" i="3" s="1"/>
  <c r="L27" i="2"/>
  <c r="L20" i="2"/>
  <c r="J20" i="3"/>
  <c r="K20" i="3" s="1"/>
  <c r="J17" i="3"/>
  <c r="K17" i="3" s="1"/>
  <c r="P17" i="3" s="1"/>
  <c r="L17" i="2"/>
  <c r="P17" i="2" s="1"/>
  <c r="K24" i="2"/>
  <c r="K23" i="2"/>
  <c r="J22" i="3"/>
  <c r="K22" i="3" s="1"/>
  <c r="L22" i="2"/>
  <c r="L18" i="2"/>
  <c r="P18" i="2" s="1"/>
  <c r="J18" i="3"/>
  <c r="K18" i="3" s="1"/>
  <c r="P18" i="3" s="1"/>
  <c r="J21" i="3"/>
  <c r="K21" i="3" s="1"/>
  <c r="L21" i="2"/>
  <c r="L19" i="2"/>
  <c r="J19" i="3"/>
  <c r="K19" i="3" s="1"/>
  <c r="L25" i="2"/>
  <c r="J25" i="3"/>
  <c r="K25" i="3" s="1"/>
  <c r="AV23" i="12" l="1"/>
  <c r="L23" i="2"/>
  <c r="J23" i="3"/>
  <c r="K23" i="3" s="1"/>
  <c r="J24" i="3"/>
  <c r="K24" i="3" s="1"/>
  <c r="L24" i="2"/>
  <c r="H17" i="7" l="1"/>
  <c r="H17" i="6"/>
  <c r="J17" i="6" l="1"/>
  <c r="D17" i="6" s="1"/>
  <c r="F17" i="6" s="1"/>
  <c r="E16" i="8" s="1"/>
  <c r="G16" i="8"/>
  <c r="L14" i="6"/>
  <c r="J17" i="7"/>
  <c r="D17" i="7" s="1"/>
  <c r="G17" i="9"/>
  <c r="L14" i="7"/>
  <c r="F17" i="7" l="1"/>
  <c r="E1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Loveless, Tiffany</author>
  </authors>
  <commentList>
    <comment ref="N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Loveless, Tiffany:</t>
        </r>
        <r>
          <rPr>
            <sz val="9"/>
            <color indexed="81"/>
            <rFont val="Tahoma"/>
            <family val="2"/>
          </rPr>
          <t xml:space="preserve">
includes CU</t>
        </r>
      </text>
    </comment>
    <comment ref="O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Loveless, Tiffany:</t>
        </r>
        <r>
          <rPr>
            <sz val="9"/>
            <color indexed="81"/>
            <rFont val="Tahoma"/>
            <family val="2"/>
          </rPr>
          <t xml:space="preserve">
Historical and Forecast UEE</t>
        </r>
      </text>
    </comment>
    <comment ref="P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Loveless, Tiffany:</t>
        </r>
        <r>
          <rPr>
            <sz val="9"/>
            <color indexed="81"/>
            <rFont val="Tahoma"/>
            <family val="2"/>
          </rPr>
          <t xml:space="preserve">
Historical and Forecast UEE</t>
        </r>
      </text>
    </comment>
  </commentList>
</comments>
</file>

<file path=xl/sharedStrings.xml><?xml version="1.0" encoding="utf-8"?>
<sst xmlns="http://schemas.openxmlformats.org/spreadsheetml/2006/main" count="499" uniqueCount="219">
  <si>
    <t>PUCO Form FE-T3: Electric Transmission Owner's Total Monthly Energy Forecast (MWh)</t>
  </si>
  <si>
    <t>Duke Energy Ohio After DSM (e)</t>
  </si>
  <si>
    <t>Ohio Portion (a)</t>
  </si>
  <si>
    <t>Total Company (b)</t>
  </si>
  <si>
    <t>Total System (c)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</si>
  <si>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</si>
  <si>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</si>
  <si>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</si>
  <si>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</si>
  <si>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</si>
  <si>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</si>
  <si>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</si>
  <si>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</si>
  <si>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</si>
  <si>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</si>
  <si>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</si>
  <si>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</si>
  <si>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KWHRES_OH</t>
  </si>
  <si>
    <t>SL+OPA+Inter.Dep.</t>
  </si>
  <si>
    <t>PUCO Form FE-D1 : EDU Service Area Energy Delivery Forecast</t>
  </si>
  <si>
    <t>(Megawatt Hours/Year) (a)</t>
  </si>
  <si>
    <t>Duke Energy Ohio (d)</t>
  </si>
  <si>
    <t>5(a)</t>
  </si>
  <si>
    <t>5(b)</t>
  </si>
  <si>
    <t>Year</t>
  </si>
  <si>
    <t>Residential</t>
  </si>
  <si>
    <t>Commercial</t>
  </si>
  <si>
    <t>Industrial</t>
  </si>
  <si>
    <t>Transportation (b)</t>
  </si>
  <si>
    <t>Other (c)</t>
  </si>
  <si>
    <t>Total End Use Delivery (f)</t>
  </si>
  <si>
    <t>Line Losses and Company Use</t>
  </si>
  <si>
    <t>Total Energy</t>
  </si>
  <si>
    <t>1+2+3+4+5(a)-5(b)</t>
  </si>
  <si>
    <t>6+7</t>
  </si>
  <si>
    <t>(a) To be filled out by all EDUs. The category breakdown should refer to the Ohio portion of the EDU's total service area.</t>
  </si>
  <si>
    <t>(b) Transportation includes railroads &amp; railways.</t>
  </si>
  <si>
    <t>(c) Other includes street &amp; highway lighting, public authorities, interdepartmental sales, and wholesale</t>
  </si>
  <si>
    <t>(d) Historical class numbers include the impact of DSM programs in place at the time. Forecast numbers have not been reduced for energy efficiency impacts.</t>
  </si>
  <si>
    <t>(e) Historical numbers represent incremental impacts of energy efficiency programs.  Forecast numbers represent cumulative impacts.</t>
  </si>
  <si>
    <t>(f) Historical numbers include the impact of DSM programs in place at the time.  Forecast numbers include losses.</t>
  </si>
  <si>
    <t>Duke Energy Ohio After DSM (d)</t>
  </si>
  <si>
    <t>Total End Use Delivery</t>
  </si>
  <si>
    <t>1+2+3+4+5</t>
  </si>
  <si>
    <t>(d) Historical numbers include the impact of DSM programs in place at the time.</t>
  </si>
  <si>
    <t>PUCO Form FE-D5: EDU's Total Monthly Energy Forecast (MWh)</t>
  </si>
  <si>
    <t>Duke Energy Ohio Before DSM</t>
  </si>
  <si>
    <t>Ohio Service Area</t>
  </si>
  <si>
    <t>System</t>
  </si>
  <si>
    <t>(a) To be filled out by all EDUs. Data should refer to the Ohio portion of the EDU's total service area in this column.</t>
  </si>
  <si>
    <t>(b) EDUs operating across Ohio boundaries shall provide data for the total service area in this column.</t>
  </si>
  <si>
    <t>(c) EDUs operating as a part of an integrated operating system shall provide data for the total system in this column.</t>
  </si>
  <si>
    <t>(e) Includes DSM impacts.</t>
  </si>
  <si>
    <t>Retail Peak after EE and EV</t>
  </si>
  <si>
    <t>PUCO Form FE-T4: Electric Transmission Owner's Monthly Internal Peak Load Forecast (Megawatts)</t>
  </si>
  <si>
    <t>Internal</t>
  </si>
  <si>
    <t>PUCO Form FE-D3 : EDU System Seasonal Peak Load Demand Forecast ( c )</t>
  </si>
  <si>
    <t>(Megawatts)(a)</t>
  </si>
  <si>
    <t>Native</t>
  </si>
  <si>
    <t>Summer</t>
  </si>
  <si>
    <t>Net Summer</t>
  </si>
  <si>
    <t>Winter (b)</t>
  </si>
  <si>
    <t>(a) To be filled out by all EDUs. Data should refer to the Ohio portion of the EDU's total service area.</t>
  </si>
  <si>
    <t>(c) Historical company peaks not necessarily coincident with the system peak.</t>
  </si>
  <si>
    <t>(d) Figures reflect the impact of historical demand side programs.</t>
  </si>
  <si>
    <t>PUCO Form FE-D3 : EDU System Seasonal Peak Load Demand Forecast</t>
  </si>
  <si>
    <t>Duke Energy Ohio After DSM</t>
  </si>
  <si>
    <t>(c) Includes DSM impacts.</t>
  </si>
  <si>
    <t>Demand Response</t>
  </si>
  <si>
    <t>Peak before EE, but with EV</t>
  </si>
  <si>
    <t xml:space="preserve">PUCO Form FE-T2 : Electric Transmission Owner's System Seasonal Peak Load Demand Forecast </t>
  </si>
  <si>
    <t>Duke Energy Ohio BEFORE DSM (e)</t>
  </si>
  <si>
    <t>Native Load (b)</t>
  </si>
  <si>
    <t>Internal Load (c)</t>
  </si>
  <si>
    <t>Winter (d)</t>
  </si>
  <si>
    <t>(a) To be filled out by electric transmission owners operating in Ohio.</t>
  </si>
  <si>
    <t>(b) Excludes interruptible load.</t>
  </si>
  <si>
    <t>(c) Includes interruptible load.</t>
  </si>
  <si>
    <t>(e) Includes historical DSM impacts.</t>
  </si>
  <si>
    <t>Duke Energy Ohio After DSM (e) (f)</t>
  </si>
  <si>
    <t>PUCO Form FE-D6: EDU's Monthly Internal Peak Load Forecast (Megawatts)</t>
  </si>
  <si>
    <t>PUCO Form FE-D6: EDU's Monthly Internal Peak Load Forecast (Megawatts) (e)</t>
  </si>
  <si>
    <r>
      <t xml:space="preserve">Ohio Service </t>
    </r>
    <r>
      <rPr>
        <u/>
        <sz val="12"/>
        <rFont val="Arial"/>
        <family val="2"/>
      </rPr>
      <t>Area</t>
    </r>
  </si>
  <si>
    <r>
      <t xml:space="preserve">Demand </t>
    </r>
    <r>
      <rPr>
        <u/>
        <sz val="12"/>
        <rFont val="Arial"/>
        <family val="2"/>
      </rPr>
      <t>Response</t>
    </r>
  </si>
  <si>
    <r>
      <rPr>
        <sz val="12"/>
        <rFont val="Arial"/>
        <family val="2"/>
      </rPr>
      <t>Net</t>
    </r>
    <r>
      <rPr>
        <u/>
        <sz val="12"/>
        <rFont val="Arial"/>
        <family val="2"/>
      </rPr>
      <t xml:space="preserve"> Summer</t>
    </r>
  </si>
  <si>
    <t>TOTAL ENERGY RECEIPTS FROM GENERATION SOURCES</t>
  </si>
  <si>
    <t>TOTAL ENERGY RECEIPTS AT INTERCONNECTIONS</t>
  </si>
  <si>
    <t>TOTAL ENERGY RECEIPTS</t>
  </si>
  <si>
    <t>TOTAL ENERGY DELIVERIES AT INTERCONNECTIONS</t>
  </si>
  <si>
    <t>YEAR</t>
  </si>
  <si>
    <t>1 + 2</t>
  </si>
  <si>
    <t>4 + 5</t>
  </si>
  <si>
    <t>3 + 6</t>
  </si>
  <si>
    <t>PUCO FORM FE-T1: TRANSMISSION ENERGY DELIVERY FORECAST</t>
  </si>
  <si>
    <t>Energy Efficiency and Demand Response (e)</t>
  </si>
  <si>
    <r>
      <t>Ohio Portion</t>
    </r>
    <r>
      <rPr>
        <vertAlign val="superscript"/>
        <sz val="10"/>
        <rFont val="Arial"/>
        <family val="2"/>
      </rPr>
      <t>a</t>
    </r>
  </si>
  <si>
    <r>
      <t>Total Service Area</t>
    </r>
    <r>
      <rPr>
        <vertAlign val="superscript"/>
        <sz val="10"/>
        <rFont val="Arial"/>
        <family val="2"/>
      </rPr>
      <t>b</t>
    </r>
  </si>
  <si>
    <r>
      <t>System</t>
    </r>
    <r>
      <rPr>
        <vertAlign val="superscript"/>
        <sz val="10"/>
        <rFont val="Arial"/>
        <family val="2"/>
      </rPr>
      <t>c</t>
    </r>
  </si>
  <si>
    <t>(d) All data shown is a forecast. There is no actual data shown on this table.</t>
  </si>
  <si>
    <t>(a) Electric transmission owner shall provide or cause to be provided data for the Ohio portion of its service area in this column.</t>
  </si>
  <si>
    <t xml:space="preserve">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</si>
  <si>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</si>
  <si>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</si>
  <si>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</si>
  <si>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</si>
  <si>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</si>
  <si>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</si>
  <si>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</si>
  <si>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</si>
  <si>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</si>
  <si>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</si>
  <si>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8 + 9</t>
  </si>
  <si>
    <t>(11)</t>
  </si>
  <si>
    <t>7 - 10</t>
  </si>
  <si>
    <t>ENERGY RECEIPTS FROM GENERATION SOURCES CONNECTED</t>
  </si>
  <si>
    <t>TO THE OWNER’S SYSTEM INSIDE OHIO</t>
  </si>
  <si>
    <t>TO THE SYSTEM OUTSIDE OHIO</t>
  </si>
  <si>
    <t>ENERGY RECEIPTS AT INTERCONNECTIONS WITH OTHER</t>
  </si>
  <si>
    <t>TRANSMISSION COMPANIES INSIDE OHIO</t>
  </si>
  <si>
    <t>TRANSMISSION COMPANIES OUTSIDE OHIO</t>
  </si>
  <si>
    <t>ENERGY DELIVERIES AT INTERCONNECTIONS WITH OTHER</t>
  </si>
  <si>
    <t xml:space="preserve">ENERGY DELIVERIES AT INTERCONNECTIONS WITH OTHER </t>
  </si>
  <si>
    <t>TOTAL ENERGY DELIVERIES FOR LOAD</t>
  </si>
  <si>
    <t>CONNECTED TO THE SYSTEM</t>
  </si>
  <si>
    <t>(12)</t>
  </si>
  <si>
    <t>ENERGY DELIVERIES FOR LOADS CONNECTED</t>
  </si>
  <si>
    <t>TO THE SYSTEM INSIDE OHIO</t>
  </si>
  <si>
    <t>(13)</t>
  </si>
  <si>
    <t>11 - 12</t>
  </si>
  <si>
    <t>(b) Electric transmission owner operating across Ohio boundaries shall provide or cause to be provided data for the total service</t>
  </si>
  <si>
    <t xml:space="preserve">      area in this column.</t>
  </si>
  <si>
    <t xml:space="preserve">      this column.</t>
  </si>
  <si>
    <t>(c) Electric transmission owner operating as a part of an integrated operating system shall provide data for the total system in</t>
  </si>
  <si>
    <t>(b) Electric transmission owner operating across Ohio boundries shall provide or cause to be provided data for the total service</t>
  </si>
  <si>
    <t>(c) Electric transmission owner operating as a part of an integrated operating system shall provide for the total system in</t>
  </si>
  <si>
    <t>FE-D3 BDSM data match check</t>
  </si>
  <si>
    <t>FE-D3 ADSM data match check</t>
  </si>
  <si>
    <t>FE-T4 data match check</t>
  </si>
  <si>
    <t>FE-D5 ADSM data match check</t>
  </si>
  <si>
    <t>FE-T2 data match check</t>
  </si>
  <si>
    <t>FE-D5 BDSM total energy data match check</t>
  </si>
  <si>
    <t>FE-D5 ADSM total energy data match check</t>
  </si>
  <si>
    <t>FE-T2 BDSM data match check</t>
  </si>
  <si>
    <t>FE-T2 ADSM data match check</t>
  </si>
  <si>
    <t>Base Year</t>
  </si>
  <si>
    <t>(a)  To be filled out by electric transmission owners operating in Ohio.</t>
  </si>
  <si>
    <t>4901:5-5-03</t>
  </si>
  <si>
    <t>(f) Historical company peaks not necessarily coincident with system peak.</t>
  </si>
  <si>
    <t>4901:5-5-04</t>
  </si>
  <si>
    <t>dek_LOSS</t>
  </si>
  <si>
    <t>dek_RETAIL@METER</t>
  </si>
  <si>
    <t>CU_ANNUAL</t>
  </si>
  <si>
    <t>VALUE FOR FE-T1</t>
  </si>
  <si>
    <t>deo_RETAIL@METER</t>
  </si>
  <si>
    <t>OPA</t>
  </si>
  <si>
    <t>Other</t>
  </si>
  <si>
    <t>WN: Most Recent Year from Sales Summary</t>
  </si>
  <si>
    <t>RES_FPA</t>
  </si>
  <si>
    <t>RES_IRP</t>
  </si>
  <si>
    <t>Com_FPA</t>
  </si>
  <si>
    <t>Com_IRP</t>
  </si>
  <si>
    <t>Ind_IRP</t>
  </si>
  <si>
    <t>IND_FPA</t>
  </si>
  <si>
    <t>OPA_FPA</t>
  </si>
  <si>
    <t>OPA_IRP</t>
  </si>
  <si>
    <t>Retail_afterUEE_Gen</t>
  </si>
  <si>
    <t>Res</t>
  </si>
  <si>
    <t>Non-Res</t>
  </si>
  <si>
    <t>Losses</t>
  </si>
  <si>
    <t>Data from Spring Standard Templates</t>
  </si>
  <si>
    <t>UEE_Res_Total_Rollon_Rolloff</t>
  </si>
  <si>
    <t>UEE_NONRES_Total_Rollon_Rolloff</t>
  </si>
  <si>
    <t>Historical data should be WN with historical UEE added back????</t>
  </si>
  <si>
    <t>Losses + CU</t>
  </si>
  <si>
    <t>Gen_Total_beforeUEE</t>
  </si>
  <si>
    <t>Gen_Total_after_UEE_Gen</t>
  </si>
  <si>
    <t>Hist</t>
  </si>
  <si>
    <t>WN</t>
  </si>
  <si>
    <t>Hist UEE (from annual file)</t>
  </si>
  <si>
    <t>Res-UEE</t>
  </si>
  <si>
    <t>Nonres-UEE</t>
  </si>
  <si>
    <t>**these are historical achievements of UEE programs in MWH</t>
  </si>
  <si>
    <t>CU_Retail_Sum</t>
  </si>
  <si>
    <t>CU_Gen_Sum</t>
  </si>
  <si>
    <t>deo_LOSS</t>
  </si>
  <si>
    <t>2. Update DEO/DEK_work tabs. Forecast years should have annual WN number at meter; historical years have WN history.</t>
  </si>
  <si>
    <t>History from MW Energy Accounting</t>
  </si>
  <si>
    <t xml:space="preserve">Line Loss </t>
  </si>
  <si>
    <t>Company Use</t>
  </si>
  <si>
    <t>Summ_pk</t>
  </si>
  <si>
    <t>Wint_pk</t>
  </si>
  <si>
    <t>SUMMER</t>
  </si>
  <si>
    <t>WINTER</t>
  </si>
  <si>
    <t>DR</t>
  </si>
  <si>
    <t>Native (b)(c)</t>
  </si>
  <si>
    <t>Internal (b)(c)</t>
  </si>
  <si>
    <t>(b) Winter load reference is to peak loads which follow the summer peak load; Winter 2020 peak is a preliminary estimate</t>
  </si>
  <si>
    <t>(d) Winter load reference is to peak loads which follow the summer peak load. (note: 2020 winter peak is preliminary value)</t>
  </si>
  <si>
    <t>(d) Winter load reference is to peak loads which follow the summer peak load. Winter Peak for 2020 is a preliminary value</t>
  </si>
  <si>
    <t>MWH</t>
  </si>
  <si>
    <t>DEO</t>
  </si>
  <si>
    <t>1. Verify that the mPeak_Data tab links to a new version of the peak forecast (this sheet is now called "mPeak_for_Phil").</t>
  </si>
  <si>
    <t>3. Increment the "base year" indicator on FE-T1 to the current year. Update the FE-D# tabs.</t>
  </si>
  <si>
    <t>4. Update FE-T2 and other FE-T# tables.</t>
  </si>
  <si>
    <t>5. Update green cells in FE-T1.</t>
  </si>
  <si>
    <t>*Cells C7:AP11 are not provided by Load Forecasting at this time.</t>
  </si>
  <si>
    <t>FE-D6 BDSM data match checks</t>
  </si>
  <si>
    <t>FE-D6 ADSM data match checks</t>
  </si>
  <si>
    <t>Annual UEE Total Rollon/Rolloff</t>
  </si>
  <si>
    <t xml:space="preserve">Incremental UEE </t>
  </si>
  <si>
    <t>Retail vs IRP</t>
  </si>
  <si>
    <t>From Sales Summary</t>
  </si>
  <si>
    <t>Dt</t>
  </si>
  <si>
    <t>RetailPeak_1CP</t>
  </si>
  <si>
    <t>RetailPeak_1CP_Dt</t>
  </si>
  <si>
    <t>UEE_Peak_1CP</t>
  </si>
  <si>
    <t>EV_Peak_1CP</t>
  </si>
  <si>
    <t>PV_Peak_1CP</t>
  </si>
  <si>
    <t>IRP_Peak_1CP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</si>
</sst>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0.0%"/>
    <numFmt numFmtId="167" formatCode="_(* #,##0.0000_);_(* \(#,##0.0000\);_(* &quot;-&quot;????_);_(@_)"/>
    <numFmt numFmtId="168" formatCode="0.000"/>
    <numFmt numFmtId="169" formatCode="mm/dd/yyyy"/>
    <numFmt numFmtId="170" formatCode="_(* #,##0.00000_);_(* \(#,##0.00000\);_(* &quot;-&quot;??_);_(@_)"/>
    <numFmt numFmtId="171" formatCode="0.00000"/>
  </numFmts>
  <fonts count="4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8"/>
      <name val="Comic Sans MS"/>
      <family val="4"/>
    </font>
    <font>
      <sz val="10"/>
      <color theme="1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12"/>
      <name val="SWISS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b/>
      <i/>
      <sz val="12"/>
      <color indexed="57"/>
      <name val="SWISS"/>
    </font>
    <font>
      <sz val="12"/>
      <color indexed="32"/>
      <name val="SWISS"/>
    </font>
    <font>
      <b/>
      <sz val="12"/>
      <color indexed="38"/>
      <name val="SWISS"/>
    </font>
    <font>
      <b/>
      <i/>
      <sz val="12"/>
      <color indexed="50"/>
      <name val="SWISS"/>
      <family val="2"/>
    </font>
    <font>
      <sz val="11"/>
      <color theme="1"/>
      <name val="Calibri"/>
      <family val="2"/>
    </font>
    <font>
      <sz val="8"/>
      <color rgb="FF00B050"/>
      <name val="Arial"/>
      <family val="2"/>
    </font>
    <font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B0F0"/>
      <name val="Arial"/>
      <family val="2"/>
    </font>
    <font>
      <sz val="6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6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14"/>
        <bgColor indexed="14"/>
      </patternFill>
    </fill>
    <fill>
      <patternFill patternType="solid">
        <fgColor indexed="10"/>
        <bgColor indexed="10"/>
      </patternFill>
    </fill>
    <fill>
      <patternFill patternType="solid">
        <fgColor indexed="15"/>
        <b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575">
    <xf numFmtId="0" fontId="0" fillId="0" borderId="0"/>
    <xf numFmtId="43" fontId="10" fillId="0" borderId="0" applyFont="0" applyFill="0" applyBorder="0" applyAlignment="0" applyProtection="0"/>
    <xf numFmtId="0" fontId="14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0" fillId="0" borderId="0"/>
    <xf numFmtId="9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165" fontId="10" fillId="0" borderId="0">
      <alignment horizontal="left" wrapText="1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5" fontId="10" fillId="0" borderId="0">
      <alignment horizontal="left" wrapText="1"/>
    </xf>
    <xf numFmtId="165" fontId="10" fillId="0" borderId="0">
      <alignment horizontal="left" wrapText="1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7" fillId="0" borderId="51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3" fillId="20" borderId="51"/>
    <xf numFmtId="0" fontId="27" fillId="21" borderId="52"/>
    <xf numFmtId="0" fontId="27" fillId="22" borderId="51"/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7" fillId="20" borderId="51"/>
    <xf numFmtId="3" fontId="36" fillId="0" borderId="0" applyNumberFormat="0" applyFill="0" applyBorder="0" applyAlignment="0" applyProtection="0"/>
    <xf numFmtId="37" fontId="37" fillId="0" borderId="53" applyNumberFormat="0" applyAlignment="0">
      <protection locked="0"/>
    </xf>
    <xf numFmtId="0" fontId="27" fillId="0" borderId="51"/>
    <xf numFmtId="0" fontId="30" fillId="0" borderId="0"/>
    <xf numFmtId="0" fontId="10" fillId="0" borderId="0"/>
    <xf numFmtId="0" fontId="10" fillId="0" borderId="0"/>
    <xf numFmtId="0" fontId="10" fillId="0" borderId="0"/>
    <xf numFmtId="37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10" fillId="0" borderId="0">
      <alignment wrapText="1"/>
    </xf>
    <xf numFmtId="0" fontId="5" fillId="0" borderId="0"/>
    <xf numFmtId="0" fontId="10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>
      <alignment wrapText="1"/>
    </xf>
    <xf numFmtId="0" fontId="1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>
      <alignment wrapText="1"/>
    </xf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wrapText="1"/>
    </xf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0" fontId="5" fillId="6" borderId="50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38" fillId="0" borderId="0" applyNumberFormat="0" applyFill="0" applyBorder="0" applyAlignment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2" fontId="10" fillId="0" borderId="0" applyFont="0" applyFill="0" applyBorder="0" applyProtection="0">
      <alignment horizontal="right"/>
    </xf>
    <xf numFmtId="2" fontId="10" fillId="0" borderId="0" applyFont="0" applyFill="0" applyBorder="0" applyProtection="0">
      <alignment horizontal="right"/>
    </xf>
    <xf numFmtId="0" fontId="11" fillId="0" borderId="0" applyNumberFormat="0" applyFill="0" applyBorder="0" applyProtection="0">
      <alignment horizontal="right"/>
    </xf>
    <xf numFmtId="0" fontId="11" fillId="0" borderId="0" applyNumberFormat="0" applyFill="0" applyBorder="0" applyProtection="0">
      <alignment horizontal="right"/>
    </xf>
    <xf numFmtId="0" fontId="39" fillId="0" borderId="54"/>
    <xf numFmtId="0" fontId="27" fillId="23" borderId="51"/>
    <xf numFmtId="43" fontId="5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10" fillId="0" borderId="0"/>
    <xf numFmtId="0" fontId="40" fillId="0" borderId="0"/>
    <xf numFmtId="0" fontId="4" fillId="0" borderId="0"/>
  </cellStyleXfs>
  <cellXfs count="37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10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1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/>
    <xf numFmtId="0" fontId="0" fillId="2" borderId="4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10" fillId="0" borderId="0" xfId="0" applyFont="1" applyFill="1"/>
    <xf numFmtId="0" fontId="14" fillId="0" borderId="0" xfId="2"/>
    <xf numFmtId="0" fontId="14" fillId="0" borderId="0" xfId="2" applyAlignment="1">
      <alignment horizontal="center"/>
    </xf>
    <xf numFmtId="0" fontId="10" fillId="0" borderId="0" xfId="2" applyFont="1"/>
    <xf numFmtId="0" fontId="14" fillId="2" borderId="0" xfId="2" applyFill="1"/>
    <xf numFmtId="0" fontId="14" fillId="2" borderId="0" xfId="2" applyFill="1" applyAlignment="1">
      <alignment horizontal="center"/>
    </xf>
    <xf numFmtId="0" fontId="11" fillId="2" borderId="0" xfId="2" applyFont="1" applyFill="1" applyAlignment="1">
      <alignment horizontal="center"/>
    </xf>
    <xf numFmtId="0" fontId="14" fillId="2" borderId="1" xfId="2" applyFill="1" applyBorder="1" applyAlignment="1">
      <alignment horizontal="center"/>
    </xf>
    <xf numFmtId="0" fontId="14" fillId="2" borderId="2" xfId="2" applyFill="1" applyBorder="1" applyAlignment="1">
      <alignment horizontal="center"/>
    </xf>
    <xf numFmtId="0" fontId="14" fillId="2" borderId="10" xfId="2" applyFill="1" applyBorder="1" applyAlignment="1">
      <alignment horizontal="center"/>
    </xf>
    <xf numFmtId="0" fontId="14" fillId="2" borderId="3" xfId="2" applyFill="1" applyBorder="1" applyAlignment="1">
      <alignment horizontal="center"/>
    </xf>
    <xf numFmtId="0" fontId="14" fillId="0" borderId="0" xfId="2" applyFill="1"/>
    <xf numFmtId="0" fontId="14" fillId="2" borderId="4" xfId="2" applyFill="1" applyBorder="1" applyAlignment="1">
      <alignment horizontal="center"/>
    </xf>
    <xf numFmtId="0" fontId="14" fillId="2" borderId="5" xfId="2" applyFill="1" applyBorder="1" applyAlignment="1">
      <alignment horizontal="center"/>
    </xf>
    <xf numFmtId="0" fontId="10" fillId="2" borderId="5" xfId="2" applyFont="1" applyFill="1" applyBorder="1" applyAlignment="1">
      <alignment horizontal="center" wrapText="1"/>
    </xf>
    <xf numFmtId="0" fontId="14" fillId="2" borderId="6" xfId="2" applyFill="1" applyBorder="1" applyAlignment="1">
      <alignment horizontal="center"/>
    </xf>
    <xf numFmtId="0" fontId="14" fillId="2" borderId="11" xfId="2" applyFill="1" applyBorder="1" applyAlignment="1">
      <alignment horizontal="center"/>
    </xf>
    <xf numFmtId="0" fontId="14" fillId="2" borderId="12" xfId="2" applyFill="1" applyBorder="1" applyAlignment="1">
      <alignment horizontal="center"/>
    </xf>
    <xf numFmtId="164" fontId="0" fillId="2" borderId="5" xfId="1" applyNumberFormat="1" applyFont="1" applyFill="1" applyBorder="1" applyAlignment="1">
      <alignment horizontal="center"/>
    </xf>
    <xf numFmtId="0" fontId="14" fillId="2" borderId="7" xfId="2" applyFill="1" applyBorder="1" applyAlignment="1">
      <alignment horizontal="center"/>
    </xf>
    <xf numFmtId="164" fontId="0" fillId="2" borderId="8" xfId="1" applyNumberFormat="1" applyFont="1" applyFill="1" applyBorder="1" applyAlignment="1">
      <alignment horizontal="center"/>
    </xf>
    <xf numFmtId="0" fontId="14" fillId="2" borderId="0" xfId="2" applyFill="1" applyBorder="1"/>
    <xf numFmtId="0" fontId="10" fillId="2" borderId="0" xfId="2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" fontId="0" fillId="2" borderId="0" xfId="0" applyNumberFormat="1" applyFill="1"/>
    <xf numFmtId="0" fontId="0" fillId="2" borderId="0" xfId="0" applyFill="1" applyBorder="1"/>
    <xf numFmtId="166" fontId="0" fillId="0" borderId="0" xfId="0" applyNumberFormat="1" applyFill="1"/>
    <xf numFmtId="164" fontId="0" fillId="0" borderId="0" xfId="0" applyNumberFormat="1"/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165" fontId="0" fillId="0" borderId="0" xfId="0" applyNumberFormat="1" applyFill="1"/>
    <xf numFmtId="0" fontId="0" fillId="2" borderId="15" xfId="0" applyFill="1" applyBorder="1"/>
    <xf numFmtId="0" fontId="15" fillId="2" borderId="2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0" fillId="2" borderId="6" xfId="0" applyFill="1" applyBorder="1"/>
    <xf numFmtId="0" fontId="0" fillId="2" borderId="5" xfId="0" applyFill="1" applyBorder="1"/>
    <xf numFmtId="0" fontId="0" fillId="2" borderId="4" xfId="0" applyFill="1" applyBorder="1" applyAlignment="1">
      <alignment horizontal="left"/>
    </xf>
    <xf numFmtId="164" fontId="0" fillId="0" borderId="0" xfId="0" applyNumberFormat="1" applyFill="1"/>
    <xf numFmtId="0" fontId="0" fillId="2" borderId="7" xfId="0" applyFill="1" applyBorder="1" applyAlignment="1">
      <alignment horizontal="left"/>
    </xf>
    <xf numFmtId="164" fontId="0" fillId="2" borderId="0" xfId="0" applyNumberFormat="1" applyFill="1"/>
    <xf numFmtId="0" fontId="13" fillId="0" borderId="0" xfId="0" applyFont="1" applyFill="1" applyAlignment="1" applyProtection="1">
      <alignment horizontal="right"/>
    </xf>
    <xf numFmtId="2" fontId="0" fillId="0" borderId="0" xfId="1" applyNumberFormat="1" applyFont="1" applyFill="1"/>
    <xf numFmtId="168" fontId="0" fillId="0" borderId="0" xfId="0" applyNumberFormat="1"/>
    <xf numFmtId="39" fontId="0" fillId="0" borderId="0" xfId="0" applyNumberFormat="1"/>
    <xf numFmtId="165" fontId="0" fillId="0" borderId="0" xfId="0" applyNumberFormat="1" applyFont="1" applyFill="1"/>
    <xf numFmtId="164" fontId="0" fillId="0" borderId="0" xfId="0" applyNumberFormat="1" applyFont="1" applyFill="1"/>
    <xf numFmtId="164" fontId="0" fillId="0" borderId="0" xfId="0" applyNumberFormat="1" applyFont="1"/>
    <xf numFmtId="0" fontId="0" fillId="2" borderId="4" xfId="0" applyFont="1" applyFill="1" applyBorder="1"/>
    <xf numFmtId="167" fontId="0" fillId="0" borderId="0" xfId="0" applyNumberFormat="1" applyFont="1" applyFill="1"/>
    <xf numFmtId="0" fontId="0" fillId="2" borderId="7" xfId="0" applyFont="1" applyFill="1" applyBorder="1"/>
    <xf numFmtId="164" fontId="0" fillId="4" borderId="0" xfId="1" applyNumberFormat="1" applyFont="1" applyFill="1"/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3" fontId="0" fillId="2" borderId="6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10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3" fontId="0" fillId="2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0" fontId="0" fillId="0" borderId="0" xfId="0" applyFont="1" applyAlignment="1">
      <alignment horizontal="right"/>
    </xf>
    <xf numFmtId="10" fontId="0" fillId="0" borderId="0" xfId="0" applyNumberFormat="1" applyFont="1"/>
    <xf numFmtId="0" fontId="10" fillId="0" borderId="0" xfId="0" applyFont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16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2" fontId="0" fillId="0" borderId="0" xfId="0" applyNumberFormat="1" applyFont="1"/>
    <xf numFmtId="0" fontId="0" fillId="2" borderId="0" xfId="0" applyFont="1" applyFill="1" applyAlignment="1">
      <alignment horizontal="right"/>
    </xf>
    <xf numFmtId="1" fontId="0" fillId="0" borderId="0" xfId="0" applyNumberFormat="1" applyFont="1" applyFill="1"/>
    <xf numFmtId="0" fontId="0" fillId="0" borderId="0" xfId="0" applyFont="1" applyFill="1" applyBorder="1"/>
    <xf numFmtId="0" fontId="0" fillId="0" borderId="0" xfId="0" applyFont="1" applyBorder="1"/>
    <xf numFmtId="2" fontId="0" fillId="0" borderId="0" xfId="0" applyNumberFormat="1" applyFont="1" applyFill="1"/>
    <xf numFmtId="0" fontId="9" fillId="0" borderId="0" xfId="3"/>
    <xf numFmtId="0" fontId="9" fillId="0" borderId="0" xfId="3" applyFill="1"/>
    <xf numFmtId="164" fontId="14" fillId="0" borderId="0" xfId="2" applyNumberFormat="1"/>
    <xf numFmtId="3" fontId="0" fillId="0" borderId="0" xfId="0" applyNumberFormat="1"/>
    <xf numFmtId="0" fontId="15" fillId="5" borderId="0" xfId="0" applyFont="1" applyFill="1" applyBorder="1" applyAlignment="1">
      <alignment horizontal="center" wrapText="1"/>
    </xf>
    <xf numFmtId="0" fontId="0" fillId="2" borderId="28" xfId="0" applyFont="1" applyFill="1" applyBorder="1"/>
    <xf numFmtId="0" fontId="15" fillId="2" borderId="3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 wrapText="1"/>
    </xf>
    <xf numFmtId="0" fontId="12" fillId="2" borderId="29" xfId="0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5" xfId="2" applyFont="1" applyFill="1" applyBorder="1" applyAlignment="1">
      <alignment horizontal="center" wrapText="1"/>
    </xf>
    <xf numFmtId="0" fontId="0" fillId="2" borderId="29" xfId="0" applyFont="1" applyFill="1" applyBorder="1"/>
    <xf numFmtId="0" fontId="0" fillId="2" borderId="3" xfId="0" applyFont="1" applyFill="1" applyBorder="1" applyAlignment="1">
      <alignment horizontal="center" wrapText="1"/>
    </xf>
    <xf numFmtId="0" fontId="9" fillId="0" borderId="0" xfId="3" applyBorder="1"/>
    <xf numFmtId="0" fontId="13" fillId="0" borderId="0" xfId="3" applyFont="1" applyBorder="1" applyAlignment="1">
      <alignment horizontal="center" vertical="top" wrapText="1"/>
    </xf>
    <xf numFmtId="0" fontId="13" fillId="0" borderId="0" xfId="3" applyFont="1" applyBorder="1" applyAlignment="1">
      <alignment horizontal="center" wrapText="1"/>
    </xf>
    <xf numFmtId="0" fontId="18" fillId="0" borderId="0" xfId="3" applyFont="1"/>
    <xf numFmtId="0" fontId="13" fillId="0" borderId="33" xfId="3" applyFont="1" applyBorder="1" applyAlignment="1">
      <alignment horizontal="center" textRotation="90" wrapText="1"/>
    </xf>
    <xf numFmtId="0" fontId="13" fillId="0" borderId="34" xfId="3" quotePrefix="1" applyFont="1" applyBorder="1" applyAlignment="1">
      <alignment textRotation="90" wrapText="1"/>
    </xf>
    <xf numFmtId="0" fontId="13" fillId="0" borderId="36" xfId="3" applyFont="1" applyBorder="1" applyAlignment="1">
      <alignment horizontal="center" textRotation="90" wrapText="1"/>
    </xf>
    <xf numFmtId="0" fontId="13" fillId="0" borderId="32" xfId="3" quotePrefix="1" applyFont="1" applyBorder="1" applyAlignment="1">
      <alignment horizontal="center" textRotation="90" wrapText="1"/>
    </xf>
    <xf numFmtId="0" fontId="19" fillId="0" borderId="33" xfId="3" applyFont="1" applyBorder="1" applyAlignment="1">
      <alignment horizontal="center" textRotation="90" wrapText="1"/>
    </xf>
    <xf numFmtId="0" fontId="13" fillId="0" borderId="34" xfId="3" applyFont="1" applyBorder="1" applyAlignment="1">
      <alignment horizontal="center" textRotation="90" wrapText="1"/>
    </xf>
    <xf numFmtId="0" fontId="19" fillId="0" borderId="36" xfId="3" applyFont="1" applyBorder="1" applyAlignment="1">
      <alignment horizontal="center" textRotation="90" wrapText="1"/>
    </xf>
    <xf numFmtId="0" fontId="19" fillId="0" borderId="33" xfId="3" quotePrefix="1" applyFont="1" applyBorder="1" applyAlignment="1">
      <alignment horizontal="center" textRotation="90" wrapText="1"/>
    </xf>
    <xf numFmtId="0" fontId="19" fillId="0" borderId="34" xfId="3" applyFont="1" applyBorder="1" applyAlignment="1">
      <alignment horizontal="center" textRotation="90" wrapText="1"/>
    </xf>
    <xf numFmtId="0" fontId="19" fillId="0" borderId="32" xfId="3" quotePrefix="1" applyFont="1" applyBorder="1" applyAlignment="1">
      <alignment horizontal="center" textRotation="90" wrapText="1"/>
    </xf>
    <xf numFmtId="0" fontId="13" fillId="0" borderId="33" xfId="3" quotePrefix="1" applyFont="1" applyBorder="1" applyAlignment="1">
      <alignment horizontal="center" textRotation="90" wrapText="1"/>
    </xf>
    <xf numFmtId="0" fontId="13" fillId="0" borderId="35" xfId="3" applyFont="1" applyBorder="1" applyAlignment="1">
      <alignment textRotation="90" wrapText="1"/>
    </xf>
    <xf numFmtId="0" fontId="19" fillId="0" borderId="0" xfId="3" applyFont="1" applyBorder="1" applyAlignment="1">
      <alignment textRotation="90" wrapText="1"/>
    </xf>
    <xf numFmtId="0" fontId="19" fillId="0" borderId="35" xfId="3" applyFont="1" applyBorder="1" applyAlignment="1">
      <alignment textRotation="90" wrapText="1"/>
    </xf>
    <xf numFmtId="0" fontId="9" fillId="0" borderId="35" xfId="3" applyBorder="1"/>
    <xf numFmtId="0" fontId="13" fillId="0" borderId="13" xfId="3" applyFont="1" applyFill="1" applyBorder="1" applyAlignment="1">
      <alignment horizontal="center" wrapText="1"/>
    </xf>
    <xf numFmtId="0" fontId="13" fillId="0" borderId="37" xfId="3" applyFont="1" applyFill="1" applyBorder="1" applyAlignment="1">
      <alignment horizontal="center" wrapText="1"/>
    </xf>
    <xf numFmtId="0" fontId="13" fillId="0" borderId="37" xfId="3" applyFont="1" applyBorder="1" applyAlignment="1">
      <alignment horizontal="center" wrapText="1"/>
    </xf>
    <xf numFmtId="3" fontId="13" fillId="0" borderId="37" xfId="3" applyNumberFormat="1" applyFont="1" applyBorder="1" applyAlignment="1">
      <alignment horizontal="center" wrapText="1"/>
    </xf>
    <xf numFmtId="3" fontId="13" fillId="0" borderId="38" xfId="3" applyNumberFormat="1" applyFont="1" applyBorder="1" applyAlignment="1">
      <alignment horizontal="center" wrapText="1"/>
    </xf>
    <xf numFmtId="0" fontId="13" fillId="0" borderId="38" xfId="3" applyFont="1" applyBorder="1" applyAlignment="1">
      <alignment horizontal="center" wrapText="1"/>
    </xf>
    <xf numFmtId="0" fontId="21" fillId="0" borderId="20" xfId="3" applyFont="1" applyBorder="1"/>
    <xf numFmtId="0" fontId="13" fillId="0" borderId="18" xfId="3" applyFont="1" applyBorder="1" applyAlignment="1">
      <alignment horizontal="center" textRotation="90" wrapText="1"/>
    </xf>
    <xf numFmtId="0" fontId="13" fillId="0" borderId="20" xfId="3" applyFont="1" applyBorder="1" applyAlignment="1">
      <alignment horizontal="center" textRotation="90" wrapText="1"/>
    </xf>
    <xf numFmtId="0" fontId="19" fillId="0" borderId="18" xfId="3" applyFont="1" applyBorder="1" applyAlignment="1">
      <alignment horizontal="center" textRotation="90" wrapText="1"/>
    </xf>
    <xf numFmtId="0" fontId="19" fillId="0" borderId="20" xfId="3" applyFont="1" applyBorder="1" applyAlignment="1">
      <alignment horizontal="center" textRotation="90" wrapText="1"/>
    </xf>
    <xf numFmtId="0" fontId="9" fillId="0" borderId="19" xfId="3" applyBorder="1"/>
    <xf numFmtId="0" fontId="0" fillId="0" borderId="21" xfId="0" applyBorder="1"/>
    <xf numFmtId="0" fontId="13" fillId="0" borderId="25" xfId="3" quotePrefix="1" applyFont="1" applyBorder="1" applyAlignment="1">
      <alignment textRotation="90" wrapText="1"/>
    </xf>
    <xf numFmtId="0" fontId="13" fillId="0" borderId="39" xfId="3" applyFont="1" applyBorder="1" applyAlignment="1">
      <alignment textRotation="90" wrapText="1"/>
    </xf>
    <xf numFmtId="0" fontId="13" fillId="0" borderId="14" xfId="3" applyFont="1" applyFill="1" applyBorder="1" applyAlignment="1">
      <alignment horizontal="center" wrapText="1"/>
    </xf>
    <xf numFmtId="0" fontId="13" fillId="0" borderId="40" xfId="3" applyFont="1" applyFill="1" applyBorder="1" applyAlignment="1">
      <alignment horizontal="center" wrapText="1"/>
    </xf>
    <xf numFmtId="0" fontId="13" fillId="0" borderId="40" xfId="3" applyFont="1" applyBorder="1" applyAlignment="1">
      <alignment horizontal="center" wrapText="1"/>
    </xf>
    <xf numFmtId="0" fontId="13" fillId="0" borderId="41" xfId="3" applyFont="1" applyBorder="1" applyAlignment="1">
      <alignment horizontal="center" wrapText="1"/>
    </xf>
    <xf numFmtId="0" fontId="0" fillId="2" borderId="0" xfId="0" applyFont="1" applyFill="1" applyAlignment="1">
      <alignment horizontal="left"/>
    </xf>
    <xf numFmtId="0" fontId="0" fillId="2" borderId="0" xfId="0" applyFont="1" applyFill="1" applyBorder="1" applyAlignment="1">
      <alignment horizontal="left"/>
    </xf>
    <xf numFmtId="3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3" fillId="0" borderId="32" xfId="3" quotePrefix="1" applyNumberFormat="1" applyFont="1" applyBorder="1" applyAlignment="1">
      <alignment textRotation="90" wrapText="1"/>
    </xf>
    <xf numFmtId="0" fontId="0" fillId="2" borderId="0" xfId="0" applyFont="1" applyFill="1" applyBorder="1"/>
    <xf numFmtId="0" fontId="13" fillId="0" borderId="5" xfId="3" applyFont="1" applyFill="1" applyBorder="1" applyAlignment="1">
      <alignment horizontal="center" wrapText="1"/>
    </xf>
    <xf numFmtId="0" fontId="13" fillId="0" borderId="42" xfId="3" applyFont="1" applyBorder="1" applyAlignment="1">
      <alignment horizontal="center" wrapText="1"/>
    </xf>
    <xf numFmtId="0" fontId="20" fillId="0" borderId="17" xfId="3" applyFont="1" applyBorder="1" applyAlignment="1">
      <alignment horizontal="center" vertical="top" wrapText="1"/>
    </xf>
    <xf numFmtId="0" fontId="13" fillId="0" borderId="10" xfId="3" applyFont="1" applyBorder="1" applyAlignment="1">
      <alignment horizontal="center" wrapText="1"/>
    </xf>
    <xf numFmtId="0" fontId="20" fillId="0" borderId="27" xfId="3" applyFont="1" applyBorder="1" applyAlignment="1">
      <alignment horizontal="center" vertical="top" wrapText="1"/>
    </xf>
    <xf numFmtId="0" fontId="20" fillId="0" borderId="43" xfId="3" applyFont="1" applyBorder="1" applyAlignment="1">
      <alignment horizontal="center" vertical="top" wrapText="1"/>
    </xf>
    <xf numFmtId="0" fontId="13" fillId="0" borderId="44" xfId="3" applyFont="1" applyBorder="1" applyAlignment="1">
      <alignment horizontal="center" vertical="top" wrapText="1"/>
    </xf>
    <xf numFmtId="0" fontId="13" fillId="0" borderId="45" xfId="3" applyFont="1" applyBorder="1" applyAlignment="1">
      <alignment horizontal="center" vertical="top" wrapText="1"/>
    </xf>
    <xf numFmtId="0" fontId="13" fillId="0" borderId="8" xfId="3" applyFont="1" applyFill="1" applyBorder="1" applyAlignment="1">
      <alignment horizontal="center" wrapText="1"/>
    </xf>
    <xf numFmtId="3" fontId="0" fillId="3" borderId="0" xfId="0" applyNumberFormat="1" applyFill="1"/>
    <xf numFmtId="0" fontId="13" fillId="0" borderId="47" xfId="3" applyFont="1" applyFill="1" applyBorder="1" applyAlignment="1">
      <alignment horizontal="center" wrapText="1"/>
    </xf>
    <xf numFmtId="0" fontId="13" fillId="0" borderId="48" xfId="3" applyFont="1" applyFill="1" applyBorder="1" applyAlignment="1">
      <alignment horizontal="center" wrapText="1"/>
    </xf>
    <xf numFmtId="0" fontId="13" fillId="0" borderId="48" xfId="3" applyFont="1" applyBorder="1" applyAlignment="1">
      <alignment horizontal="center" wrapText="1"/>
    </xf>
    <xf numFmtId="0" fontId="13" fillId="0" borderId="49" xfId="3" applyFont="1" applyBorder="1" applyAlignment="1">
      <alignment horizontal="center" wrapText="1"/>
    </xf>
    <xf numFmtId="0" fontId="23" fillId="3" borderId="5" xfId="3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24" fillId="0" borderId="0" xfId="3" applyFont="1" applyFill="1"/>
    <xf numFmtId="0" fontId="22" fillId="0" borderId="0" xfId="3" applyFont="1" applyFill="1"/>
    <xf numFmtId="3" fontId="0" fillId="0" borderId="5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0" fillId="0" borderId="8" xfId="0" applyNumberFormat="1" applyFont="1" applyFill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37" fontId="10" fillId="0" borderId="5" xfId="1" applyNumberFormat="1" applyFont="1" applyFill="1" applyBorder="1" applyAlignment="1">
      <alignment horizontal="center"/>
    </xf>
    <xf numFmtId="37" fontId="10" fillId="0" borderId="6" xfId="1" applyNumberFormat="1" applyFont="1" applyFill="1" applyBorder="1" applyAlignment="1">
      <alignment horizontal="center"/>
    </xf>
    <xf numFmtId="37" fontId="10" fillId="0" borderId="8" xfId="1" applyNumberFormat="1" applyFont="1" applyFill="1" applyBorder="1" applyAlignment="1">
      <alignment horizontal="center"/>
    </xf>
    <xf numFmtId="37" fontId="10" fillId="0" borderId="9" xfId="1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64" fontId="10" fillId="0" borderId="5" xfId="1" applyNumberFormat="1" applyFont="1" applyFill="1" applyBorder="1" applyAlignment="1">
      <alignment horizontal="center"/>
    </xf>
    <xf numFmtId="164" fontId="10" fillId="0" borderId="6" xfId="1" applyNumberFormat="1" applyFont="1" applyFill="1" applyBorder="1" applyAlignment="1">
      <alignment horizontal="center"/>
    </xf>
    <xf numFmtId="164" fontId="10" fillId="0" borderId="6" xfId="0" applyNumberFormat="1" applyFont="1" applyFill="1" applyBorder="1"/>
    <xf numFmtId="164" fontId="10" fillId="0" borderId="9" xfId="0" applyNumberFormat="1" applyFont="1" applyFill="1" applyBorder="1"/>
    <xf numFmtId="0" fontId="0" fillId="0" borderId="6" xfId="0" applyFont="1" applyFill="1" applyBorder="1"/>
    <xf numFmtId="0" fontId="6" fillId="0" borderId="0" xfId="3" applyFont="1"/>
    <xf numFmtId="0" fontId="0" fillId="2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164" fontId="0" fillId="2" borderId="0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4" fontId="10" fillId="0" borderId="0" xfId="0" applyNumberFormat="1" applyFont="1" applyFill="1" applyBorder="1"/>
    <xf numFmtId="0" fontId="13" fillId="0" borderId="19" xfId="3" applyFont="1" applyBorder="1" applyAlignment="1">
      <alignment horizontal="center" textRotation="90" wrapText="1"/>
    </xf>
    <xf numFmtId="0" fontId="13" fillId="0" borderId="0" xfId="3" applyFont="1" applyBorder="1" applyAlignment="1">
      <alignment horizontal="center" textRotation="90" wrapText="1"/>
    </xf>
    <xf numFmtId="0" fontId="13" fillId="0" borderId="35" xfId="3" applyFont="1" applyBorder="1" applyAlignment="1">
      <alignment horizontal="center" textRotation="90" wrapText="1"/>
    </xf>
    <xf numFmtId="37" fontId="26" fillId="0" borderId="5" xfId="1" applyNumberFormat="1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37" fontId="42" fillId="0" borderId="5" xfId="1" applyNumberFormat="1" applyFont="1" applyFill="1" applyBorder="1" applyAlignment="1">
      <alignment horizontal="center"/>
    </xf>
    <xf numFmtId="37" fontId="42" fillId="0" borderId="8" xfId="1" applyNumberFormat="1" applyFont="1" applyFill="1" applyBorder="1" applyAlignment="1">
      <alignment horizontal="center"/>
    </xf>
    <xf numFmtId="3" fontId="45" fillId="0" borderId="5" xfId="0" applyNumberFormat="1" applyFont="1" applyFill="1" applyBorder="1" applyAlignment="1">
      <alignment horizontal="center"/>
    </xf>
    <xf numFmtId="3" fontId="45" fillId="0" borderId="6" xfId="0" applyNumberFormat="1" applyFont="1" applyFill="1" applyBorder="1" applyAlignment="1">
      <alignment horizontal="center"/>
    </xf>
    <xf numFmtId="164" fontId="45" fillId="0" borderId="5" xfId="1" applyNumberFormat="1" applyFont="1" applyFill="1" applyBorder="1" applyAlignment="1">
      <alignment horizontal="center"/>
    </xf>
    <xf numFmtId="164" fontId="45" fillId="2" borderId="5" xfId="1" applyNumberFormat="1" applyFont="1" applyFill="1" applyBorder="1" applyAlignment="1">
      <alignment horizontal="center"/>
    </xf>
    <xf numFmtId="164" fontId="45" fillId="0" borderId="6" xfId="1" applyNumberFormat="1" applyFont="1" applyFill="1" applyBorder="1" applyAlignment="1">
      <alignment horizontal="center"/>
    </xf>
    <xf numFmtId="164" fontId="45" fillId="0" borderId="9" xfId="1" applyNumberFormat="1" applyFont="1" applyFill="1" applyBorder="1" applyAlignment="1">
      <alignment horizontal="center"/>
    </xf>
    <xf numFmtId="3" fontId="45" fillId="0" borderId="8" xfId="0" applyNumberFormat="1" applyFont="1" applyFill="1" applyBorder="1" applyAlignment="1">
      <alignment horizontal="center"/>
    </xf>
    <xf numFmtId="43" fontId="14" fillId="2" borderId="0" xfId="2" applyNumberFormat="1" applyFill="1"/>
    <xf numFmtId="169" fontId="0" fillId="0" borderId="0" xfId="0" applyNumberFormat="1"/>
    <xf numFmtId="22" fontId="0" fillId="0" borderId="0" xfId="0" applyNumberFormat="1"/>
    <xf numFmtId="3" fontId="24" fillId="0" borderId="0" xfId="17" applyNumberFormat="1" applyFont="1" applyFill="1"/>
    <xf numFmtId="3" fontId="24" fillId="0" borderId="0" xfId="4484" applyNumberFormat="1" applyFont="1"/>
    <xf numFmtId="3" fontId="24" fillId="24" borderId="0" xfId="4484" applyNumberFormat="1" applyFont="1" applyFill="1"/>
    <xf numFmtId="3" fontId="24" fillId="24" borderId="0" xfId="17" applyNumberFormat="1" applyFont="1" applyFill="1"/>
    <xf numFmtId="4" fontId="24" fillId="24" borderId="0" xfId="4484" applyNumberFormat="1" applyFont="1" applyFill="1"/>
    <xf numFmtId="168" fontId="0" fillId="0" borderId="0" xfId="0" applyNumberFormat="1" applyFill="1"/>
    <xf numFmtId="22" fontId="0" fillId="0" borderId="0" xfId="0" applyNumberFormat="1" applyFill="1"/>
    <xf numFmtId="169" fontId="3" fillId="0" borderId="0" xfId="4484" applyNumberFormat="1" applyFont="1"/>
    <xf numFmtId="4" fontId="3" fillId="0" borderId="0" xfId="4484" applyNumberFormat="1" applyFont="1"/>
    <xf numFmtId="3" fontId="3" fillId="25" borderId="0" xfId="17" applyNumberFormat="1" applyFont="1" applyFill="1"/>
    <xf numFmtId="4" fontId="46" fillId="0" borderId="0" xfId="0" applyNumberFormat="1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3" fontId="3" fillId="0" borderId="0" xfId="4484" applyNumberFormat="1" applyFont="1"/>
    <xf numFmtId="0" fontId="24" fillId="0" borderId="0" xfId="0" applyFont="1" applyFill="1" applyAlignment="1">
      <alignment horizontal="center"/>
    </xf>
    <xf numFmtId="170" fontId="24" fillId="0" borderId="0" xfId="1" applyNumberFormat="1" applyFont="1"/>
    <xf numFmtId="0" fontId="24" fillId="0" borderId="0" xfId="0" quotePrefix="1" applyFont="1"/>
    <xf numFmtId="3" fontId="47" fillId="0" borderId="0" xfId="0" applyNumberFormat="1" applyFont="1" applyFill="1" applyBorder="1"/>
    <xf numFmtId="170" fontId="24" fillId="26" borderId="0" xfId="1" applyNumberFormat="1" applyFont="1" applyFill="1"/>
    <xf numFmtId="43" fontId="24" fillId="0" borderId="0" xfId="0" applyNumberFormat="1" applyFont="1"/>
    <xf numFmtId="164" fontId="24" fillId="0" borderId="0" xfId="1" applyNumberFormat="1" applyFont="1"/>
    <xf numFmtId="37" fontId="24" fillId="19" borderId="0" xfId="0" applyNumberFormat="1" applyFont="1" applyFill="1" applyAlignment="1">
      <alignment horizontal="center"/>
    </xf>
    <xf numFmtId="37" fontId="24" fillId="3" borderId="0" xfId="0" applyNumberFormat="1" applyFont="1" applyFill="1" applyAlignment="1">
      <alignment horizontal="center"/>
    </xf>
    <xf numFmtId="3" fontId="24" fillId="19" borderId="0" xfId="17" applyNumberFormat="1" applyFont="1" applyFill="1"/>
    <xf numFmtId="3" fontId="24" fillId="3" borderId="0" xfId="17" applyNumberFormat="1" applyFont="1" applyFill="1"/>
    <xf numFmtId="3" fontId="24" fillId="0" borderId="0" xfId="0" applyNumberFormat="1" applyFont="1"/>
    <xf numFmtId="164" fontId="0" fillId="26" borderId="0" xfId="0" applyNumberFormat="1" applyFill="1"/>
    <xf numFmtId="0" fontId="23" fillId="0" borderId="0" xfId="0" applyFont="1" applyAlignment="1">
      <alignment horizontal="right"/>
    </xf>
    <xf numFmtId="0" fontId="0" fillId="0" borderId="0" xfId="0" quotePrefix="1"/>
    <xf numFmtId="0" fontId="0" fillId="0" borderId="5" xfId="0" applyFill="1" applyBorder="1" applyAlignment="1">
      <alignment horizontal="center"/>
    </xf>
    <xf numFmtId="164" fontId="10" fillId="0" borderId="5" xfId="1" applyNumberFormat="1" applyFill="1" applyBorder="1" applyAlignment="1">
      <alignment horizontal="center"/>
    </xf>
    <xf numFmtId="4" fontId="2" fillId="25" borderId="0" xfId="17" applyNumberFormat="1" applyFont="1" applyFill="1"/>
    <xf numFmtId="0" fontId="24" fillId="27" borderId="0" xfId="0" applyFont="1" applyFill="1" applyAlignment="1">
      <alignment horizontal="center"/>
    </xf>
    <xf numFmtId="0" fontId="24" fillId="28" borderId="0" xfId="0" applyFont="1" applyFill="1" applyAlignment="1">
      <alignment horizontal="center"/>
    </xf>
    <xf numFmtId="1" fontId="24" fillId="0" borderId="0" xfId="0" applyNumberFormat="1" applyFont="1"/>
    <xf numFmtId="4" fontId="48" fillId="0" borderId="0" xfId="0" applyNumberFormat="1" applyFont="1"/>
    <xf numFmtId="3" fontId="45" fillId="0" borderId="9" xfId="0" applyNumberFormat="1" applyFont="1" applyFill="1" applyBorder="1" applyAlignment="1">
      <alignment horizontal="center"/>
    </xf>
    <xf numFmtId="164" fontId="24" fillId="0" borderId="0" xfId="1" applyNumberFormat="1" applyFont="1" applyFill="1"/>
    <xf numFmtId="0" fontId="24" fillId="0" borderId="0" xfId="0" applyFont="1" applyFill="1"/>
    <xf numFmtId="3" fontId="3" fillId="29" borderId="0" xfId="17" applyNumberFormat="1" applyFont="1" applyFill="1"/>
    <xf numFmtId="164" fontId="1" fillId="26" borderId="12" xfId="1" applyNumberFormat="1" applyFont="1" applyFill="1" applyBorder="1" applyAlignment="1">
      <alignment horizontal="right"/>
    </xf>
    <xf numFmtId="164" fontId="1" fillId="26" borderId="5" xfId="1" applyNumberFormat="1" applyFont="1" applyFill="1" applyBorder="1" applyAlignment="1">
      <alignment horizontal="right"/>
    </xf>
    <xf numFmtId="0" fontId="0" fillId="2" borderId="11" xfId="0" applyFont="1" applyFill="1" applyBorder="1" applyAlignment="1">
      <alignment horizontal="center"/>
    </xf>
    <xf numFmtId="3" fontId="45" fillId="0" borderId="11" xfId="0" applyNumberFormat="1" applyFont="1" applyFill="1" applyBorder="1" applyAlignment="1">
      <alignment horizontal="center"/>
    </xf>
    <xf numFmtId="3" fontId="45" fillId="0" borderId="56" xfId="0" applyNumberFormat="1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/>
    </xf>
    <xf numFmtId="3" fontId="0" fillId="2" borderId="13" xfId="0" applyNumberFormat="1" applyFont="1" applyFill="1" applyBorder="1" applyAlignment="1">
      <alignment horizontal="center"/>
    </xf>
    <xf numFmtId="3" fontId="0" fillId="2" borderId="46" xfId="0" applyNumberFormat="1" applyFont="1" applyFill="1" applyBorder="1" applyAlignment="1">
      <alignment horizontal="center"/>
    </xf>
    <xf numFmtId="3" fontId="22" fillId="24" borderId="0" xfId="4484" applyNumberFormat="1" applyFont="1" applyFill="1"/>
    <xf numFmtId="3" fontId="0" fillId="26" borderId="0" xfId="0" applyNumberFormat="1" applyFill="1"/>
    <xf numFmtId="0" fontId="0" fillId="0" borderId="0" xfId="0" quotePrefix="1" applyFill="1"/>
    <xf numFmtId="0" fontId="0" fillId="0" borderId="0" xfId="0" applyFill="1" applyBorder="1"/>
    <xf numFmtId="3" fontId="0" fillId="29" borderId="0" xfId="0" applyNumberFormat="1" applyFill="1" applyBorder="1"/>
    <xf numFmtId="164" fontId="14" fillId="0" borderId="0" xfId="2" applyNumberFormat="1" applyFill="1"/>
    <xf numFmtId="0" fontId="0" fillId="0" borderId="0" xfId="0" applyAlignment="1">
      <alignment horizontal="right"/>
    </xf>
    <xf numFmtId="3" fontId="24" fillId="29" borderId="0" xfId="17" applyNumberFormat="1" applyFont="1" applyFill="1"/>
    <xf numFmtId="37" fontId="0" fillId="0" borderId="0" xfId="0" applyNumberFormat="1"/>
    <xf numFmtId="171" fontId="24" fillId="26" borderId="0" xfId="0" applyNumberFormat="1" applyFont="1" applyFill="1"/>
    <xf numFmtId="171" fontId="24" fillId="0" borderId="0" xfId="0" applyNumberFormat="1" applyFont="1"/>
    <xf numFmtId="168" fontId="0" fillId="19" borderId="0" xfId="0" applyNumberFormat="1" applyFill="1"/>
    <xf numFmtId="168" fontId="0" fillId="30" borderId="0" xfId="0" applyNumberFormat="1" applyFill="1"/>
    <xf numFmtId="164" fontId="45" fillId="0" borderId="8" xfId="1" applyNumberFormat="1" applyFont="1" applyFill="1" applyBorder="1" applyAlignment="1">
      <alignment horizontal="center"/>
    </xf>
    <xf numFmtId="164" fontId="10" fillId="0" borderId="8" xfId="1" applyNumberFormat="1" applyFill="1" applyBorder="1" applyAlignment="1">
      <alignment horizontal="center"/>
    </xf>
    <xf numFmtId="164" fontId="45" fillId="2" borderId="8" xfId="1" applyNumberFormat="1" applyFont="1" applyFill="1" applyBorder="1" applyAlignment="1">
      <alignment horizontal="center"/>
    </xf>
    <xf numFmtId="164" fontId="10" fillId="0" borderId="8" xfId="1" applyNumberFormat="1" applyFont="1" applyFill="1" applyBorder="1" applyAlignment="1">
      <alignment horizontal="center"/>
    </xf>
    <xf numFmtId="164" fontId="10" fillId="0" borderId="9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3" fontId="0" fillId="0" borderId="42" xfId="0" applyNumberFormat="1" applyFont="1" applyFill="1" applyBorder="1" applyAlignment="1">
      <alignment horizontal="center"/>
    </xf>
    <xf numFmtId="3" fontId="0" fillId="0" borderId="55" xfId="0" applyNumberFormat="1" applyFont="1" applyFill="1" applyBorder="1" applyAlignment="1">
      <alignment horizontal="center"/>
    </xf>
    <xf numFmtId="3" fontId="41" fillId="0" borderId="13" xfId="3" applyNumberFormat="1" applyFont="1" applyFill="1" applyBorder="1" applyAlignment="1">
      <alignment horizontal="center" wrapText="1"/>
    </xf>
    <xf numFmtId="3" fontId="41" fillId="0" borderId="37" xfId="3" applyNumberFormat="1" applyFont="1" applyFill="1" applyBorder="1" applyAlignment="1">
      <alignment horizontal="center" wrapText="1"/>
    </xf>
    <xf numFmtId="3" fontId="41" fillId="0" borderId="46" xfId="3" applyNumberFormat="1" applyFont="1" applyFill="1" applyBorder="1" applyAlignment="1">
      <alignment horizontal="center" wrapText="1"/>
    </xf>
    <xf numFmtId="3" fontId="25" fillId="0" borderId="13" xfId="3" applyNumberFormat="1" applyFont="1" applyBorder="1" applyAlignment="1">
      <alignment horizontal="center" wrapText="1"/>
    </xf>
    <xf numFmtId="3" fontId="25" fillId="0" borderId="37" xfId="3" applyNumberFormat="1" applyFont="1" applyBorder="1" applyAlignment="1">
      <alignment horizontal="center" wrapText="1"/>
    </xf>
    <xf numFmtId="3" fontId="25" fillId="0" borderId="46" xfId="3" applyNumberFormat="1" applyFont="1" applyBorder="1" applyAlignment="1">
      <alignment horizontal="center" wrapText="1"/>
    </xf>
    <xf numFmtId="3" fontId="25" fillId="0" borderId="13" xfId="3" applyNumberFormat="1" applyFont="1" applyFill="1" applyBorder="1" applyAlignment="1">
      <alignment horizontal="center" wrapText="1"/>
    </xf>
    <xf numFmtId="3" fontId="25" fillId="0" borderId="37" xfId="3" applyNumberFormat="1" applyFont="1" applyFill="1" applyBorder="1" applyAlignment="1">
      <alignment horizontal="center" wrapText="1"/>
    </xf>
    <xf numFmtId="3" fontId="25" fillId="0" borderId="46" xfId="3" applyNumberFormat="1" applyFont="1" applyFill="1" applyBorder="1" applyAlignment="1">
      <alignment horizontal="center" wrapText="1"/>
    </xf>
    <xf numFmtId="3" fontId="41" fillId="0" borderId="38" xfId="3" applyNumberFormat="1" applyFont="1" applyFill="1" applyBorder="1" applyAlignment="1">
      <alignment horizontal="center" wrapText="1"/>
    </xf>
    <xf numFmtId="3" fontId="25" fillId="0" borderId="38" xfId="3" applyNumberFormat="1" applyFont="1" applyFill="1" applyBorder="1" applyAlignment="1">
      <alignment horizontal="center" wrapText="1"/>
    </xf>
    <xf numFmtId="3" fontId="13" fillId="0" borderId="13" xfId="3" applyNumberFormat="1" applyFont="1" applyFill="1" applyBorder="1" applyAlignment="1">
      <alignment horizontal="center" wrapText="1"/>
    </xf>
    <xf numFmtId="3" fontId="13" fillId="0" borderId="37" xfId="3" applyNumberFormat="1" applyFont="1" applyFill="1" applyBorder="1" applyAlignment="1">
      <alignment horizontal="center" wrapText="1"/>
    </xf>
    <xf numFmtId="3" fontId="13" fillId="0" borderId="38" xfId="3" applyNumberFormat="1" applyFont="1" applyFill="1" applyBorder="1" applyAlignment="1">
      <alignment horizontal="center" wrapText="1"/>
    </xf>
    <xf numFmtId="0" fontId="11" fillId="0" borderId="0" xfId="3" applyFont="1" applyAlignment="1">
      <alignment horizontal="center"/>
    </xf>
    <xf numFmtId="0" fontId="11" fillId="0" borderId="0" xfId="3" applyFont="1" applyBorder="1" applyAlignment="1">
      <alignment horizontal="center"/>
    </xf>
    <xf numFmtId="0" fontId="13" fillId="0" borderId="19" xfId="3" applyFont="1" applyBorder="1" applyAlignment="1">
      <alignment horizontal="center" textRotation="90" wrapText="1"/>
    </xf>
    <xf numFmtId="0" fontId="13" fillId="0" borderId="0" xfId="3" applyFont="1" applyBorder="1" applyAlignment="1">
      <alignment horizontal="center" textRotation="90" wrapText="1"/>
    </xf>
    <xf numFmtId="0" fontId="13" fillId="0" borderId="35" xfId="3" applyFont="1" applyBorder="1" applyAlignment="1">
      <alignment horizontal="center" textRotation="90" wrapText="1"/>
    </xf>
    <xf numFmtId="0" fontId="19" fillId="0" borderId="19" xfId="3" applyFont="1" applyBorder="1" applyAlignment="1">
      <alignment horizontal="center" textRotation="90" wrapText="1"/>
    </xf>
    <xf numFmtId="0" fontId="19" fillId="0" borderId="0" xfId="3" applyFont="1" applyBorder="1" applyAlignment="1">
      <alignment horizontal="center" textRotation="90" wrapText="1"/>
    </xf>
    <xf numFmtId="0" fontId="19" fillId="0" borderId="35" xfId="3" applyFont="1" applyBorder="1" applyAlignment="1">
      <alignment horizontal="center" textRotation="90" wrapText="1"/>
    </xf>
    <xf numFmtId="3" fontId="21" fillId="0" borderId="13" xfId="3" applyNumberFormat="1" applyFont="1" applyBorder="1" applyAlignment="1">
      <alignment horizontal="center" wrapText="1"/>
    </xf>
    <xf numFmtId="3" fontId="21" fillId="0" borderId="37" xfId="3" applyNumberFormat="1" applyFont="1" applyBorder="1" applyAlignment="1">
      <alignment horizontal="center" wrapText="1"/>
    </xf>
    <xf numFmtId="3" fontId="21" fillId="0" borderId="38" xfId="3" applyNumberFormat="1" applyFont="1" applyBorder="1" applyAlignment="1">
      <alignment horizontal="center" wrapText="1"/>
    </xf>
    <xf numFmtId="3" fontId="25" fillId="0" borderId="38" xfId="3" applyNumberFormat="1" applyFont="1" applyBorder="1" applyAlignment="1">
      <alignment horizontal="center" wrapText="1"/>
    </xf>
    <xf numFmtId="3" fontId="13" fillId="0" borderId="13" xfId="3" applyNumberFormat="1" applyFont="1" applyBorder="1" applyAlignment="1">
      <alignment horizontal="center" wrapText="1"/>
    </xf>
    <xf numFmtId="3" fontId="13" fillId="0" borderId="37" xfId="3" applyNumberFormat="1" applyFont="1" applyBorder="1" applyAlignment="1">
      <alignment horizontal="center" wrapText="1"/>
    </xf>
    <xf numFmtId="3" fontId="13" fillId="0" borderId="38" xfId="3" applyNumberFormat="1" applyFont="1" applyBorder="1" applyAlignment="1">
      <alignment horizontal="center" wrapText="1"/>
    </xf>
    <xf numFmtId="4" fontId="46" fillId="0" borderId="0" xfId="3" applyNumberFormat="1" applyFont="1" applyBorder="1" applyAlignment="1">
      <alignment horizontal="center"/>
    </xf>
    <xf numFmtId="3" fontId="13" fillId="0" borderId="14" xfId="3" applyNumberFormat="1" applyFont="1" applyFill="1" applyBorder="1" applyAlignment="1">
      <alignment horizontal="center" wrapText="1"/>
    </xf>
    <xf numFmtId="3" fontId="13" fillId="0" borderId="40" xfId="3" applyNumberFormat="1" applyFont="1" applyFill="1" applyBorder="1" applyAlignment="1">
      <alignment horizontal="center" wrapText="1"/>
    </xf>
    <xf numFmtId="3" fontId="13" fillId="0" borderId="41" xfId="3" applyNumberFormat="1" applyFont="1" applyFill="1" applyBorder="1" applyAlignment="1">
      <alignment horizontal="center" wrapText="1"/>
    </xf>
    <xf numFmtId="3" fontId="41" fillId="0" borderId="14" xfId="3" applyNumberFormat="1" applyFont="1" applyFill="1" applyBorder="1" applyAlignment="1">
      <alignment horizontal="center" wrapText="1"/>
    </xf>
    <xf numFmtId="3" fontId="41" fillId="0" borderId="40" xfId="3" applyNumberFormat="1" applyFont="1" applyFill="1" applyBorder="1" applyAlignment="1">
      <alignment horizontal="center" wrapText="1"/>
    </xf>
    <xf numFmtId="3" fontId="41" fillId="0" borderId="41" xfId="3" applyNumberFormat="1" applyFont="1" applyFill="1" applyBorder="1" applyAlignment="1">
      <alignment horizontal="center" wrapText="1"/>
    </xf>
    <xf numFmtId="3" fontId="21" fillId="0" borderId="13" xfId="3" applyNumberFormat="1" applyFont="1" applyFill="1" applyBorder="1" applyAlignment="1">
      <alignment horizontal="center" wrapText="1"/>
    </xf>
    <xf numFmtId="3" fontId="21" fillId="0" borderId="37" xfId="3" applyNumberFormat="1" applyFont="1" applyFill="1" applyBorder="1" applyAlignment="1">
      <alignment horizontal="center" wrapText="1"/>
    </xf>
    <xf numFmtId="3" fontId="21" fillId="0" borderId="38" xfId="3" applyNumberFormat="1" applyFont="1" applyFill="1" applyBorder="1" applyAlignment="1">
      <alignment horizontal="center" wrapText="1"/>
    </xf>
    <xf numFmtId="49" fontId="0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0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0" fillId="2" borderId="0" xfId="2" applyNumberFormat="1" applyFont="1" applyFill="1" applyAlignment="1">
      <alignment horizontal="center"/>
    </xf>
    <xf numFmtId="49" fontId="10" fillId="2" borderId="0" xfId="2" applyNumberFormat="1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</cellXfs>
  <cellStyles count="5575">
    <cellStyle name="_x0013_" xfId="19" xr:uid="{00000000-0005-0000-0000-000000000000}"/>
    <cellStyle name="_DE Carolinas Formula Rate Model - Tier 3 vFinal" xfId="20" xr:uid="{00000000-0005-0000-0000-000001000000}"/>
    <cellStyle name="_DE Carolinas Formula Rate Model - Total WIP" xfId="21" xr:uid="{00000000-0005-0000-0000-000002000000}"/>
    <cellStyle name="_Haywood Proposal_2008 Replacement Costs_rev2" xfId="22" xr:uid="{00000000-0005-0000-0000-000003000000}"/>
    <cellStyle name="_Haywood_PPA Valuation_2008 Replacement Costs_2008-08-29_r3 (Swap SOR D E)" xfId="23" xr:uid="{00000000-0005-0000-0000-000004000000}"/>
    <cellStyle name="_PSI Formula Rate Model - Tier 3 vFinal" xfId="24" xr:uid="{00000000-0005-0000-0000-000005000000}"/>
    <cellStyle name="_PSI Formula Rate Model - Total" xfId="25" xr:uid="{00000000-0005-0000-0000-000006000000}"/>
    <cellStyle name="_S_V File Management v5" xfId="26" xr:uid="{00000000-0005-0000-0000-000007000000}"/>
    <cellStyle name="_System Average Cost Extended October 25 2006" xfId="27" xr:uid="{00000000-0005-0000-0000-000008000000}"/>
    <cellStyle name="20% - Accent1 10" xfId="28" xr:uid="{00000000-0005-0000-0000-000009000000}"/>
    <cellStyle name="20% - Accent1 10 2" xfId="29" xr:uid="{00000000-0005-0000-0000-00000A000000}"/>
    <cellStyle name="20% - Accent1 10 2 2" xfId="30" xr:uid="{00000000-0005-0000-0000-00000B000000}"/>
    <cellStyle name="20% - Accent1 10 3" xfId="31" xr:uid="{00000000-0005-0000-0000-00000C000000}"/>
    <cellStyle name="20% - Accent1 10 3 2" xfId="32" xr:uid="{00000000-0005-0000-0000-00000D000000}"/>
    <cellStyle name="20% - Accent1 10 4" xfId="33" xr:uid="{00000000-0005-0000-0000-00000E000000}"/>
    <cellStyle name="20% - Accent1 11" xfId="34" xr:uid="{00000000-0005-0000-0000-00000F000000}"/>
    <cellStyle name="20% - Accent1 11 2" xfId="35" xr:uid="{00000000-0005-0000-0000-000010000000}"/>
    <cellStyle name="20% - Accent1 12" xfId="36" xr:uid="{00000000-0005-0000-0000-000011000000}"/>
    <cellStyle name="20% - Accent1 12 2" xfId="37" xr:uid="{00000000-0005-0000-0000-000012000000}"/>
    <cellStyle name="20% - Accent1 13" xfId="38" xr:uid="{00000000-0005-0000-0000-000013000000}"/>
    <cellStyle name="20% - Accent1 13 2" xfId="39" xr:uid="{00000000-0005-0000-0000-000014000000}"/>
    <cellStyle name="20% - Accent1 14" xfId="40" xr:uid="{00000000-0005-0000-0000-000015000000}"/>
    <cellStyle name="20% - Accent1 14 2" xfId="41" xr:uid="{00000000-0005-0000-0000-000016000000}"/>
    <cellStyle name="20% - Accent1 15" xfId="42" xr:uid="{00000000-0005-0000-0000-000017000000}"/>
    <cellStyle name="20% - Accent1 15 2" xfId="43" xr:uid="{00000000-0005-0000-0000-000018000000}"/>
    <cellStyle name="20% - Accent1 16" xfId="44" xr:uid="{00000000-0005-0000-0000-000019000000}"/>
    <cellStyle name="20% - Accent1 16 2" xfId="45" xr:uid="{00000000-0005-0000-0000-00001A000000}"/>
    <cellStyle name="20% - Accent1 17" xfId="46" xr:uid="{00000000-0005-0000-0000-00001B000000}"/>
    <cellStyle name="20% - Accent1 17 2" xfId="47" xr:uid="{00000000-0005-0000-0000-00001C000000}"/>
    <cellStyle name="20% - Accent1 18" xfId="48" xr:uid="{00000000-0005-0000-0000-00001D000000}"/>
    <cellStyle name="20% - Accent1 18 2" xfId="49" xr:uid="{00000000-0005-0000-0000-00001E000000}"/>
    <cellStyle name="20% - Accent1 19" xfId="50" xr:uid="{00000000-0005-0000-0000-00001F000000}"/>
    <cellStyle name="20% - Accent1 19 2" xfId="51" xr:uid="{00000000-0005-0000-0000-000020000000}"/>
    <cellStyle name="20% - Accent1 2" xfId="52" xr:uid="{00000000-0005-0000-0000-000021000000}"/>
    <cellStyle name="20% - Accent1 2 10" xfId="53" xr:uid="{00000000-0005-0000-0000-000022000000}"/>
    <cellStyle name="20% - Accent1 2 10 2" xfId="54" xr:uid="{00000000-0005-0000-0000-000023000000}"/>
    <cellStyle name="20% - Accent1 2 11" xfId="55" xr:uid="{00000000-0005-0000-0000-000024000000}"/>
    <cellStyle name="20% - Accent1 2 2" xfId="56" xr:uid="{00000000-0005-0000-0000-000025000000}"/>
    <cellStyle name="20% - Accent1 2 2 10" xfId="57" xr:uid="{00000000-0005-0000-0000-000026000000}"/>
    <cellStyle name="20% - Accent1 2 2 2" xfId="58" xr:uid="{00000000-0005-0000-0000-000027000000}"/>
    <cellStyle name="20% - Accent1 2 2 2 2" xfId="59" xr:uid="{00000000-0005-0000-0000-000028000000}"/>
    <cellStyle name="20% - Accent1 2 2 2 2 2" xfId="60" xr:uid="{00000000-0005-0000-0000-000029000000}"/>
    <cellStyle name="20% - Accent1 2 2 2 3" xfId="61" xr:uid="{00000000-0005-0000-0000-00002A000000}"/>
    <cellStyle name="20% - Accent1 2 2 2 3 2" xfId="62" xr:uid="{00000000-0005-0000-0000-00002B000000}"/>
    <cellStyle name="20% - Accent1 2 2 2 4" xfId="63" xr:uid="{00000000-0005-0000-0000-00002C000000}"/>
    <cellStyle name="20% - Accent1 2 2 2 4 2" xfId="64" xr:uid="{00000000-0005-0000-0000-00002D000000}"/>
    <cellStyle name="20% - Accent1 2 2 2 5" xfId="65" xr:uid="{00000000-0005-0000-0000-00002E000000}"/>
    <cellStyle name="20% - Accent1 2 2 2 5 2" xfId="66" xr:uid="{00000000-0005-0000-0000-00002F000000}"/>
    <cellStyle name="20% - Accent1 2 2 2 6" xfId="67" xr:uid="{00000000-0005-0000-0000-000030000000}"/>
    <cellStyle name="20% - Accent1 2 2 3" xfId="68" xr:uid="{00000000-0005-0000-0000-000031000000}"/>
    <cellStyle name="20% - Accent1 2 2 3 2" xfId="69" xr:uid="{00000000-0005-0000-0000-000032000000}"/>
    <cellStyle name="20% - Accent1 2 2 3 2 2" xfId="70" xr:uid="{00000000-0005-0000-0000-000033000000}"/>
    <cellStyle name="20% - Accent1 2 2 3 3" xfId="71" xr:uid="{00000000-0005-0000-0000-000034000000}"/>
    <cellStyle name="20% - Accent1 2 2 3 3 2" xfId="72" xr:uid="{00000000-0005-0000-0000-000035000000}"/>
    <cellStyle name="20% - Accent1 2 2 3 4" xfId="73" xr:uid="{00000000-0005-0000-0000-000036000000}"/>
    <cellStyle name="20% - Accent1 2 2 3 4 2" xfId="74" xr:uid="{00000000-0005-0000-0000-000037000000}"/>
    <cellStyle name="20% - Accent1 2 2 3 5" xfId="75" xr:uid="{00000000-0005-0000-0000-000038000000}"/>
    <cellStyle name="20% - Accent1 2 2 3 5 2" xfId="76" xr:uid="{00000000-0005-0000-0000-000039000000}"/>
    <cellStyle name="20% - Accent1 2 2 3 6" xfId="77" xr:uid="{00000000-0005-0000-0000-00003A000000}"/>
    <cellStyle name="20% - Accent1 2 2 4" xfId="78" xr:uid="{00000000-0005-0000-0000-00003B000000}"/>
    <cellStyle name="20% - Accent1 2 2 4 2" xfId="79" xr:uid="{00000000-0005-0000-0000-00003C000000}"/>
    <cellStyle name="20% - Accent1 2 2 5" xfId="80" xr:uid="{00000000-0005-0000-0000-00003D000000}"/>
    <cellStyle name="20% - Accent1 2 2 5 2" xfId="81" xr:uid="{00000000-0005-0000-0000-00003E000000}"/>
    <cellStyle name="20% - Accent1 2 2 6" xfId="82" xr:uid="{00000000-0005-0000-0000-00003F000000}"/>
    <cellStyle name="20% - Accent1 2 2 6 2" xfId="83" xr:uid="{00000000-0005-0000-0000-000040000000}"/>
    <cellStyle name="20% - Accent1 2 2 7" xfId="84" xr:uid="{00000000-0005-0000-0000-000041000000}"/>
    <cellStyle name="20% - Accent1 2 2 7 2" xfId="85" xr:uid="{00000000-0005-0000-0000-000042000000}"/>
    <cellStyle name="20% - Accent1 2 2 8" xfId="86" xr:uid="{00000000-0005-0000-0000-000043000000}"/>
    <cellStyle name="20% - Accent1 2 2 8 2" xfId="87" xr:uid="{00000000-0005-0000-0000-000044000000}"/>
    <cellStyle name="20% - Accent1 2 2 9" xfId="88" xr:uid="{00000000-0005-0000-0000-000045000000}"/>
    <cellStyle name="20% - Accent1 2 2 9 2" xfId="89" xr:uid="{00000000-0005-0000-0000-000046000000}"/>
    <cellStyle name="20% - Accent1 2 3" xfId="90" xr:uid="{00000000-0005-0000-0000-000047000000}"/>
    <cellStyle name="20% - Accent1 2 3 2" xfId="91" xr:uid="{00000000-0005-0000-0000-000048000000}"/>
    <cellStyle name="20% - Accent1 2 3 2 2" xfId="92" xr:uid="{00000000-0005-0000-0000-000049000000}"/>
    <cellStyle name="20% - Accent1 2 3 3" xfId="93" xr:uid="{00000000-0005-0000-0000-00004A000000}"/>
    <cellStyle name="20% - Accent1 2 3 3 2" xfId="94" xr:uid="{00000000-0005-0000-0000-00004B000000}"/>
    <cellStyle name="20% - Accent1 2 3 4" xfId="95" xr:uid="{00000000-0005-0000-0000-00004C000000}"/>
    <cellStyle name="20% - Accent1 2 3 4 2" xfId="96" xr:uid="{00000000-0005-0000-0000-00004D000000}"/>
    <cellStyle name="20% - Accent1 2 3 5" xfId="97" xr:uid="{00000000-0005-0000-0000-00004E000000}"/>
    <cellStyle name="20% - Accent1 2 3 5 2" xfId="98" xr:uid="{00000000-0005-0000-0000-00004F000000}"/>
    <cellStyle name="20% - Accent1 2 3 6" xfId="99" xr:uid="{00000000-0005-0000-0000-000050000000}"/>
    <cellStyle name="20% - Accent1 2 4" xfId="100" xr:uid="{00000000-0005-0000-0000-000051000000}"/>
    <cellStyle name="20% - Accent1 2 4 2" xfId="101" xr:uid="{00000000-0005-0000-0000-000052000000}"/>
    <cellStyle name="20% - Accent1 2 4 2 2" xfId="102" xr:uid="{00000000-0005-0000-0000-000053000000}"/>
    <cellStyle name="20% - Accent1 2 4 3" xfId="103" xr:uid="{00000000-0005-0000-0000-000054000000}"/>
    <cellStyle name="20% - Accent1 2 4 3 2" xfId="104" xr:uid="{00000000-0005-0000-0000-000055000000}"/>
    <cellStyle name="20% - Accent1 2 4 4" xfId="105" xr:uid="{00000000-0005-0000-0000-000056000000}"/>
    <cellStyle name="20% - Accent1 2 4 4 2" xfId="106" xr:uid="{00000000-0005-0000-0000-000057000000}"/>
    <cellStyle name="20% - Accent1 2 4 5" xfId="107" xr:uid="{00000000-0005-0000-0000-000058000000}"/>
    <cellStyle name="20% - Accent1 2 4 5 2" xfId="108" xr:uid="{00000000-0005-0000-0000-000059000000}"/>
    <cellStyle name="20% - Accent1 2 4 6" xfId="109" xr:uid="{00000000-0005-0000-0000-00005A000000}"/>
    <cellStyle name="20% - Accent1 2 5" xfId="110" xr:uid="{00000000-0005-0000-0000-00005B000000}"/>
    <cellStyle name="20% - Accent1 2 5 2" xfId="111" xr:uid="{00000000-0005-0000-0000-00005C000000}"/>
    <cellStyle name="20% - Accent1 2 6" xfId="112" xr:uid="{00000000-0005-0000-0000-00005D000000}"/>
    <cellStyle name="20% - Accent1 2 6 2" xfId="113" xr:uid="{00000000-0005-0000-0000-00005E000000}"/>
    <cellStyle name="20% - Accent1 2 7" xfId="114" xr:uid="{00000000-0005-0000-0000-00005F000000}"/>
    <cellStyle name="20% - Accent1 2 7 2" xfId="115" xr:uid="{00000000-0005-0000-0000-000060000000}"/>
    <cellStyle name="20% - Accent1 2 8" xfId="116" xr:uid="{00000000-0005-0000-0000-000061000000}"/>
    <cellStyle name="20% - Accent1 2 8 2" xfId="117" xr:uid="{00000000-0005-0000-0000-000062000000}"/>
    <cellStyle name="20% - Accent1 2 9" xfId="118" xr:uid="{00000000-0005-0000-0000-000063000000}"/>
    <cellStyle name="20% - Accent1 2 9 2" xfId="119" xr:uid="{00000000-0005-0000-0000-000064000000}"/>
    <cellStyle name="20% - Accent1 20" xfId="120" xr:uid="{00000000-0005-0000-0000-000065000000}"/>
    <cellStyle name="20% - Accent1 20 2" xfId="121" xr:uid="{00000000-0005-0000-0000-000066000000}"/>
    <cellStyle name="20% - Accent1 3" xfId="122" xr:uid="{00000000-0005-0000-0000-000067000000}"/>
    <cellStyle name="20% - Accent1 3 10" xfId="123" xr:uid="{00000000-0005-0000-0000-000068000000}"/>
    <cellStyle name="20% - Accent1 3 10 2" xfId="124" xr:uid="{00000000-0005-0000-0000-000069000000}"/>
    <cellStyle name="20% - Accent1 3 11" xfId="125" xr:uid="{00000000-0005-0000-0000-00006A000000}"/>
    <cellStyle name="20% - Accent1 3 2" xfId="126" xr:uid="{00000000-0005-0000-0000-00006B000000}"/>
    <cellStyle name="20% - Accent1 3 2 10" xfId="127" xr:uid="{00000000-0005-0000-0000-00006C000000}"/>
    <cellStyle name="20% - Accent1 3 2 2" xfId="128" xr:uid="{00000000-0005-0000-0000-00006D000000}"/>
    <cellStyle name="20% - Accent1 3 2 2 2" xfId="129" xr:uid="{00000000-0005-0000-0000-00006E000000}"/>
    <cellStyle name="20% - Accent1 3 2 2 2 2" xfId="130" xr:uid="{00000000-0005-0000-0000-00006F000000}"/>
    <cellStyle name="20% - Accent1 3 2 2 3" xfId="131" xr:uid="{00000000-0005-0000-0000-000070000000}"/>
    <cellStyle name="20% - Accent1 3 2 2 3 2" xfId="132" xr:uid="{00000000-0005-0000-0000-000071000000}"/>
    <cellStyle name="20% - Accent1 3 2 2 4" xfId="133" xr:uid="{00000000-0005-0000-0000-000072000000}"/>
    <cellStyle name="20% - Accent1 3 2 2 4 2" xfId="134" xr:uid="{00000000-0005-0000-0000-000073000000}"/>
    <cellStyle name="20% - Accent1 3 2 2 5" xfId="135" xr:uid="{00000000-0005-0000-0000-000074000000}"/>
    <cellStyle name="20% - Accent1 3 2 2 5 2" xfId="136" xr:uid="{00000000-0005-0000-0000-000075000000}"/>
    <cellStyle name="20% - Accent1 3 2 2 6" xfId="137" xr:uid="{00000000-0005-0000-0000-000076000000}"/>
    <cellStyle name="20% - Accent1 3 2 3" xfId="138" xr:uid="{00000000-0005-0000-0000-000077000000}"/>
    <cellStyle name="20% - Accent1 3 2 3 2" xfId="139" xr:uid="{00000000-0005-0000-0000-000078000000}"/>
    <cellStyle name="20% - Accent1 3 2 3 2 2" xfId="140" xr:uid="{00000000-0005-0000-0000-000079000000}"/>
    <cellStyle name="20% - Accent1 3 2 3 3" xfId="141" xr:uid="{00000000-0005-0000-0000-00007A000000}"/>
    <cellStyle name="20% - Accent1 3 2 3 3 2" xfId="142" xr:uid="{00000000-0005-0000-0000-00007B000000}"/>
    <cellStyle name="20% - Accent1 3 2 3 4" xfId="143" xr:uid="{00000000-0005-0000-0000-00007C000000}"/>
    <cellStyle name="20% - Accent1 3 2 3 4 2" xfId="144" xr:uid="{00000000-0005-0000-0000-00007D000000}"/>
    <cellStyle name="20% - Accent1 3 2 3 5" xfId="145" xr:uid="{00000000-0005-0000-0000-00007E000000}"/>
    <cellStyle name="20% - Accent1 3 2 3 5 2" xfId="146" xr:uid="{00000000-0005-0000-0000-00007F000000}"/>
    <cellStyle name="20% - Accent1 3 2 3 6" xfId="147" xr:uid="{00000000-0005-0000-0000-000080000000}"/>
    <cellStyle name="20% - Accent1 3 2 4" xfId="148" xr:uid="{00000000-0005-0000-0000-000081000000}"/>
    <cellStyle name="20% - Accent1 3 2 4 2" xfId="149" xr:uid="{00000000-0005-0000-0000-000082000000}"/>
    <cellStyle name="20% - Accent1 3 2 5" xfId="150" xr:uid="{00000000-0005-0000-0000-000083000000}"/>
    <cellStyle name="20% - Accent1 3 2 5 2" xfId="151" xr:uid="{00000000-0005-0000-0000-000084000000}"/>
    <cellStyle name="20% - Accent1 3 2 6" xfId="152" xr:uid="{00000000-0005-0000-0000-000085000000}"/>
    <cellStyle name="20% - Accent1 3 2 6 2" xfId="153" xr:uid="{00000000-0005-0000-0000-000086000000}"/>
    <cellStyle name="20% - Accent1 3 2 7" xfId="154" xr:uid="{00000000-0005-0000-0000-000087000000}"/>
    <cellStyle name="20% - Accent1 3 2 7 2" xfId="155" xr:uid="{00000000-0005-0000-0000-000088000000}"/>
    <cellStyle name="20% - Accent1 3 2 8" xfId="156" xr:uid="{00000000-0005-0000-0000-000089000000}"/>
    <cellStyle name="20% - Accent1 3 2 8 2" xfId="157" xr:uid="{00000000-0005-0000-0000-00008A000000}"/>
    <cellStyle name="20% - Accent1 3 2 9" xfId="158" xr:uid="{00000000-0005-0000-0000-00008B000000}"/>
    <cellStyle name="20% - Accent1 3 2 9 2" xfId="159" xr:uid="{00000000-0005-0000-0000-00008C000000}"/>
    <cellStyle name="20% - Accent1 3 3" xfId="160" xr:uid="{00000000-0005-0000-0000-00008D000000}"/>
    <cellStyle name="20% - Accent1 3 3 2" xfId="161" xr:uid="{00000000-0005-0000-0000-00008E000000}"/>
    <cellStyle name="20% - Accent1 3 3 2 2" xfId="162" xr:uid="{00000000-0005-0000-0000-00008F000000}"/>
    <cellStyle name="20% - Accent1 3 3 3" xfId="163" xr:uid="{00000000-0005-0000-0000-000090000000}"/>
    <cellStyle name="20% - Accent1 3 3 3 2" xfId="164" xr:uid="{00000000-0005-0000-0000-000091000000}"/>
    <cellStyle name="20% - Accent1 3 3 4" xfId="165" xr:uid="{00000000-0005-0000-0000-000092000000}"/>
    <cellStyle name="20% - Accent1 3 3 4 2" xfId="166" xr:uid="{00000000-0005-0000-0000-000093000000}"/>
    <cellStyle name="20% - Accent1 3 3 5" xfId="167" xr:uid="{00000000-0005-0000-0000-000094000000}"/>
    <cellStyle name="20% - Accent1 3 3 5 2" xfId="168" xr:uid="{00000000-0005-0000-0000-000095000000}"/>
    <cellStyle name="20% - Accent1 3 3 6" xfId="169" xr:uid="{00000000-0005-0000-0000-000096000000}"/>
    <cellStyle name="20% - Accent1 3 4" xfId="170" xr:uid="{00000000-0005-0000-0000-000097000000}"/>
    <cellStyle name="20% - Accent1 3 4 2" xfId="171" xr:uid="{00000000-0005-0000-0000-000098000000}"/>
    <cellStyle name="20% - Accent1 3 4 2 2" xfId="172" xr:uid="{00000000-0005-0000-0000-000099000000}"/>
    <cellStyle name="20% - Accent1 3 4 3" xfId="173" xr:uid="{00000000-0005-0000-0000-00009A000000}"/>
    <cellStyle name="20% - Accent1 3 4 3 2" xfId="174" xr:uid="{00000000-0005-0000-0000-00009B000000}"/>
    <cellStyle name="20% - Accent1 3 4 4" xfId="175" xr:uid="{00000000-0005-0000-0000-00009C000000}"/>
    <cellStyle name="20% - Accent1 3 4 4 2" xfId="176" xr:uid="{00000000-0005-0000-0000-00009D000000}"/>
    <cellStyle name="20% - Accent1 3 4 5" xfId="177" xr:uid="{00000000-0005-0000-0000-00009E000000}"/>
    <cellStyle name="20% - Accent1 3 4 5 2" xfId="178" xr:uid="{00000000-0005-0000-0000-00009F000000}"/>
    <cellStyle name="20% - Accent1 3 4 6" xfId="179" xr:uid="{00000000-0005-0000-0000-0000A0000000}"/>
    <cellStyle name="20% - Accent1 3 5" xfId="180" xr:uid="{00000000-0005-0000-0000-0000A1000000}"/>
    <cellStyle name="20% - Accent1 3 5 2" xfId="181" xr:uid="{00000000-0005-0000-0000-0000A2000000}"/>
    <cellStyle name="20% - Accent1 3 6" xfId="182" xr:uid="{00000000-0005-0000-0000-0000A3000000}"/>
    <cellStyle name="20% - Accent1 3 6 2" xfId="183" xr:uid="{00000000-0005-0000-0000-0000A4000000}"/>
    <cellStyle name="20% - Accent1 3 7" xfId="184" xr:uid="{00000000-0005-0000-0000-0000A5000000}"/>
    <cellStyle name="20% - Accent1 3 7 2" xfId="185" xr:uid="{00000000-0005-0000-0000-0000A6000000}"/>
    <cellStyle name="20% - Accent1 3 8" xfId="186" xr:uid="{00000000-0005-0000-0000-0000A7000000}"/>
    <cellStyle name="20% - Accent1 3 8 2" xfId="187" xr:uid="{00000000-0005-0000-0000-0000A8000000}"/>
    <cellStyle name="20% - Accent1 3 9" xfId="188" xr:uid="{00000000-0005-0000-0000-0000A9000000}"/>
    <cellStyle name="20% - Accent1 3 9 2" xfId="189" xr:uid="{00000000-0005-0000-0000-0000AA000000}"/>
    <cellStyle name="20% - Accent1 4" xfId="190" xr:uid="{00000000-0005-0000-0000-0000AB000000}"/>
    <cellStyle name="20% - Accent1 4 10" xfId="191" xr:uid="{00000000-0005-0000-0000-0000AC000000}"/>
    <cellStyle name="20% - Accent1 4 10 2" xfId="192" xr:uid="{00000000-0005-0000-0000-0000AD000000}"/>
    <cellStyle name="20% - Accent1 4 11" xfId="193" xr:uid="{00000000-0005-0000-0000-0000AE000000}"/>
    <cellStyle name="20% - Accent1 4 2" xfId="194" xr:uid="{00000000-0005-0000-0000-0000AF000000}"/>
    <cellStyle name="20% - Accent1 4 2 10" xfId="195" xr:uid="{00000000-0005-0000-0000-0000B0000000}"/>
    <cellStyle name="20% - Accent1 4 2 2" xfId="196" xr:uid="{00000000-0005-0000-0000-0000B1000000}"/>
    <cellStyle name="20% - Accent1 4 2 2 2" xfId="197" xr:uid="{00000000-0005-0000-0000-0000B2000000}"/>
    <cellStyle name="20% - Accent1 4 2 2 2 2" xfId="198" xr:uid="{00000000-0005-0000-0000-0000B3000000}"/>
    <cellStyle name="20% - Accent1 4 2 2 3" xfId="199" xr:uid="{00000000-0005-0000-0000-0000B4000000}"/>
    <cellStyle name="20% - Accent1 4 2 2 3 2" xfId="200" xr:uid="{00000000-0005-0000-0000-0000B5000000}"/>
    <cellStyle name="20% - Accent1 4 2 2 4" xfId="201" xr:uid="{00000000-0005-0000-0000-0000B6000000}"/>
    <cellStyle name="20% - Accent1 4 2 2 4 2" xfId="202" xr:uid="{00000000-0005-0000-0000-0000B7000000}"/>
    <cellStyle name="20% - Accent1 4 2 2 5" xfId="203" xr:uid="{00000000-0005-0000-0000-0000B8000000}"/>
    <cellStyle name="20% - Accent1 4 2 2 5 2" xfId="204" xr:uid="{00000000-0005-0000-0000-0000B9000000}"/>
    <cellStyle name="20% - Accent1 4 2 2 6" xfId="205" xr:uid="{00000000-0005-0000-0000-0000BA000000}"/>
    <cellStyle name="20% - Accent1 4 2 3" xfId="206" xr:uid="{00000000-0005-0000-0000-0000BB000000}"/>
    <cellStyle name="20% - Accent1 4 2 3 2" xfId="207" xr:uid="{00000000-0005-0000-0000-0000BC000000}"/>
    <cellStyle name="20% - Accent1 4 2 3 2 2" xfId="208" xr:uid="{00000000-0005-0000-0000-0000BD000000}"/>
    <cellStyle name="20% - Accent1 4 2 3 3" xfId="209" xr:uid="{00000000-0005-0000-0000-0000BE000000}"/>
    <cellStyle name="20% - Accent1 4 2 3 3 2" xfId="210" xr:uid="{00000000-0005-0000-0000-0000BF000000}"/>
    <cellStyle name="20% - Accent1 4 2 3 4" xfId="211" xr:uid="{00000000-0005-0000-0000-0000C0000000}"/>
    <cellStyle name="20% - Accent1 4 2 3 4 2" xfId="212" xr:uid="{00000000-0005-0000-0000-0000C1000000}"/>
    <cellStyle name="20% - Accent1 4 2 3 5" xfId="213" xr:uid="{00000000-0005-0000-0000-0000C2000000}"/>
    <cellStyle name="20% - Accent1 4 2 3 5 2" xfId="214" xr:uid="{00000000-0005-0000-0000-0000C3000000}"/>
    <cellStyle name="20% - Accent1 4 2 3 6" xfId="215" xr:uid="{00000000-0005-0000-0000-0000C4000000}"/>
    <cellStyle name="20% - Accent1 4 2 4" xfId="216" xr:uid="{00000000-0005-0000-0000-0000C5000000}"/>
    <cellStyle name="20% - Accent1 4 2 4 2" xfId="217" xr:uid="{00000000-0005-0000-0000-0000C6000000}"/>
    <cellStyle name="20% - Accent1 4 2 5" xfId="218" xr:uid="{00000000-0005-0000-0000-0000C7000000}"/>
    <cellStyle name="20% - Accent1 4 2 5 2" xfId="219" xr:uid="{00000000-0005-0000-0000-0000C8000000}"/>
    <cellStyle name="20% - Accent1 4 2 6" xfId="220" xr:uid="{00000000-0005-0000-0000-0000C9000000}"/>
    <cellStyle name="20% - Accent1 4 2 6 2" xfId="221" xr:uid="{00000000-0005-0000-0000-0000CA000000}"/>
    <cellStyle name="20% - Accent1 4 2 7" xfId="222" xr:uid="{00000000-0005-0000-0000-0000CB000000}"/>
    <cellStyle name="20% - Accent1 4 2 7 2" xfId="223" xr:uid="{00000000-0005-0000-0000-0000CC000000}"/>
    <cellStyle name="20% - Accent1 4 2 8" xfId="224" xr:uid="{00000000-0005-0000-0000-0000CD000000}"/>
    <cellStyle name="20% - Accent1 4 2 8 2" xfId="225" xr:uid="{00000000-0005-0000-0000-0000CE000000}"/>
    <cellStyle name="20% - Accent1 4 2 9" xfId="226" xr:uid="{00000000-0005-0000-0000-0000CF000000}"/>
    <cellStyle name="20% - Accent1 4 2 9 2" xfId="227" xr:uid="{00000000-0005-0000-0000-0000D0000000}"/>
    <cellStyle name="20% - Accent1 4 3" xfId="228" xr:uid="{00000000-0005-0000-0000-0000D1000000}"/>
    <cellStyle name="20% - Accent1 4 3 2" xfId="229" xr:uid="{00000000-0005-0000-0000-0000D2000000}"/>
    <cellStyle name="20% - Accent1 4 3 2 2" xfId="230" xr:uid="{00000000-0005-0000-0000-0000D3000000}"/>
    <cellStyle name="20% - Accent1 4 3 3" xfId="231" xr:uid="{00000000-0005-0000-0000-0000D4000000}"/>
    <cellStyle name="20% - Accent1 4 3 3 2" xfId="232" xr:uid="{00000000-0005-0000-0000-0000D5000000}"/>
    <cellStyle name="20% - Accent1 4 3 4" xfId="233" xr:uid="{00000000-0005-0000-0000-0000D6000000}"/>
    <cellStyle name="20% - Accent1 4 3 4 2" xfId="234" xr:uid="{00000000-0005-0000-0000-0000D7000000}"/>
    <cellStyle name="20% - Accent1 4 3 5" xfId="235" xr:uid="{00000000-0005-0000-0000-0000D8000000}"/>
    <cellStyle name="20% - Accent1 4 3 5 2" xfId="236" xr:uid="{00000000-0005-0000-0000-0000D9000000}"/>
    <cellStyle name="20% - Accent1 4 3 6" xfId="237" xr:uid="{00000000-0005-0000-0000-0000DA000000}"/>
    <cellStyle name="20% - Accent1 4 4" xfId="238" xr:uid="{00000000-0005-0000-0000-0000DB000000}"/>
    <cellStyle name="20% - Accent1 4 4 2" xfId="239" xr:uid="{00000000-0005-0000-0000-0000DC000000}"/>
    <cellStyle name="20% - Accent1 4 4 2 2" xfId="240" xr:uid="{00000000-0005-0000-0000-0000DD000000}"/>
    <cellStyle name="20% - Accent1 4 4 3" xfId="241" xr:uid="{00000000-0005-0000-0000-0000DE000000}"/>
    <cellStyle name="20% - Accent1 4 4 3 2" xfId="242" xr:uid="{00000000-0005-0000-0000-0000DF000000}"/>
    <cellStyle name="20% - Accent1 4 4 4" xfId="243" xr:uid="{00000000-0005-0000-0000-0000E0000000}"/>
    <cellStyle name="20% - Accent1 4 4 4 2" xfId="244" xr:uid="{00000000-0005-0000-0000-0000E1000000}"/>
    <cellStyle name="20% - Accent1 4 4 5" xfId="245" xr:uid="{00000000-0005-0000-0000-0000E2000000}"/>
    <cellStyle name="20% - Accent1 4 4 5 2" xfId="246" xr:uid="{00000000-0005-0000-0000-0000E3000000}"/>
    <cellStyle name="20% - Accent1 4 4 6" xfId="247" xr:uid="{00000000-0005-0000-0000-0000E4000000}"/>
    <cellStyle name="20% - Accent1 4 5" xfId="248" xr:uid="{00000000-0005-0000-0000-0000E5000000}"/>
    <cellStyle name="20% - Accent1 4 5 2" xfId="249" xr:uid="{00000000-0005-0000-0000-0000E6000000}"/>
    <cellStyle name="20% - Accent1 4 6" xfId="250" xr:uid="{00000000-0005-0000-0000-0000E7000000}"/>
    <cellStyle name="20% - Accent1 4 6 2" xfId="251" xr:uid="{00000000-0005-0000-0000-0000E8000000}"/>
    <cellStyle name="20% - Accent1 4 7" xfId="252" xr:uid="{00000000-0005-0000-0000-0000E9000000}"/>
    <cellStyle name="20% - Accent1 4 7 2" xfId="253" xr:uid="{00000000-0005-0000-0000-0000EA000000}"/>
    <cellStyle name="20% - Accent1 4 8" xfId="254" xr:uid="{00000000-0005-0000-0000-0000EB000000}"/>
    <cellStyle name="20% - Accent1 4 8 2" xfId="255" xr:uid="{00000000-0005-0000-0000-0000EC000000}"/>
    <cellStyle name="20% - Accent1 4 9" xfId="256" xr:uid="{00000000-0005-0000-0000-0000ED000000}"/>
    <cellStyle name="20% - Accent1 4 9 2" xfId="257" xr:uid="{00000000-0005-0000-0000-0000EE000000}"/>
    <cellStyle name="20% - Accent1 5" xfId="258" xr:uid="{00000000-0005-0000-0000-0000EF000000}"/>
    <cellStyle name="20% - Accent1 5 10" xfId="259" xr:uid="{00000000-0005-0000-0000-0000F0000000}"/>
    <cellStyle name="20% - Accent1 5 2" xfId="260" xr:uid="{00000000-0005-0000-0000-0000F1000000}"/>
    <cellStyle name="20% - Accent1 5 2 2" xfId="261" xr:uid="{00000000-0005-0000-0000-0000F2000000}"/>
    <cellStyle name="20% - Accent1 5 2 2 2" xfId="262" xr:uid="{00000000-0005-0000-0000-0000F3000000}"/>
    <cellStyle name="20% - Accent1 5 2 3" xfId="263" xr:uid="{00000000-0005-0000-0000-0000F4000000}"/>
    <cellStyle name="20% - Accent1 5 2 3 2" xfId="264" xr:uid="{00000000-0005-0000-0000-0000F5000000}"/>
    <cellStyle name="20% - Accent1 5 2 4" xfId="265" xr:uid="{00000000-0005-0000-0000-0000F6000000}"/>
    <cellStyle name="20% - Accent1 5 2 4 2" xfId="266" xr:uid="{00000000-0005-0000-0000-0000F7000000}"/>
    <cellStyle name="20% - Accent1 5 2 5" xfId="267" xr:uid="{00000000-0005-0000-0000-0000F8000000}"/>
    <cellStyle name="20% - Accent1 5 2 5 2" xfId="268" xr:uid="{00000000-0005-0000-0000-0000F9000000}"/>
    <cellStyle name="20% - Accent1 5 2 6" xfId="269" xr:uid="{00000000-0005-0000-0000-0000FA000000}"/>
    <cellStyle name="20% - Accent1 5 3" xfId="270" xr:uid="{00000000-0005-0000-0000-0000FB000000}"/>
    <cellStyle name="20% - Accent1 5 3 2" xfId="271" xr:uid="{00000000-0005-0000-0000-0000FC000000}"/>
    <cellStyle name="20% - Accent1 5 3 2 2" xfId="272" xr:uid="{00000000-0005-0000-0000-0000FD000000}"/>
    <cellStyle name="20% - Accent1 5 3 3" xfId="273" xr:uid="{00000000-0005-0000-0000-0000FE000000}"/>
    <cellStyle name="20% - Accent1 5 3 3 2" xfId="274" xr:uid="{00000000-0005-0000-0000-0000FF000000}"/>
    <cellStyle name="20% - Accent1 5 3 4" xfId="275" xr:uid="{00000000-0005-0000-0000-000000010000}"/>
    <cellStyle name="20% - Accent1 5 3 4 2" xfId="276" xr:uid="{00000000-0005-0000-0000-000001010000}"/>
    <cellStyle name="20% - Accent1 5 3 5" xfId="277" xr:uid="{00000000-0005-0000-0000-000002010000}"/>
    <cellStyle name="20% - Accent1 5 3 5 2" xfId="278" xr:uid="{00000000-0005-0000-0000-000003010000}"/>
    <cellStyle name="20% - Accent1 5 3 6" xfId="279" xr:uid="{00000000-0005-0000-0000-000004010000}"/>
    <cellStyle name="20% - Accent1 5 4" xfId="280" xr:uid="{00000000-0005-0000-0000-000005010000}"/>
    <cellStyle name="20% - Accent1 5 4 2" xfId="281" xr:uid="{00000000-0005-0000-0000-000006010000}"/>
    <cellStyle name="20% - Accent1 5 5" xfId="282" xr:uid="{00000000-0005-0000-0000-000007010000}"/>
    <cellStyle name="20% - Accent1 5 5 2" xfId="283" xr:uid="{00000000-0005-0000-0000-000008010000}"/>
    <cellStyle name="20% - Accent1 5 6" xfId="284" xr:uid="{00000000-0005-0000-0000-000009010000}"/>
    <cellStyle name="20% - Accent1 5 6 2" xfId="285" xr:uid="{00000000-0005-0000-0000-00000A010000}"/>
    <cellStyle name="20% - Accent1 5 7" xfId="286" xr:uid="{00000000-0005-0000-0000-00000B010000}"/>
    <cellStyle name="20% - Accent1 5 7 2" xfId="287" xr:uid="{00000000-0005-0000-0000-00000C010000}"/>
    <cellStyle name="20% - Accent1 5 8" xfId="288" xr:uid="{00000000-0005-0000-0000-00000D010000}"/>
    <cellStyle name="20% - Accent1 5 8 2" xfId="289" xr:uid="{00000000-0005-0000-0000-00000E010000}"/>
    <cellStyle name="20% - Accent1 5 9" xfId="290" xr:uid="{00000000-0005-0000-0000-00000F010000}"/>
    <cellStyle name="20% - Accent1 5 9 2" xfId="291" xr:uid="{00000000-0005-0000-0000-000010010000}"/>
    <cellStyle name="20% - Accent1 6" xfId="292" xr:uid="{00000000-0005-0000-0000-000011010000}"/>
    <cellStyle name="20% - Accent1 6 10" xfId="293" xr:uid="{00000000-0005-0000-0000-000012010000}"/>
    <cellStyle name="20% - Accent1 6 2" xfId="294" xr:uid="{00000000-0005-0000-0000-000013010000}"/>
    <cellStyle name="20% - Accent1 6 2 2" xfId="295" xr:uid="{00000000-0005-0000-0000-000014010000}"/>
    <cellStyle name="20% - Accent1 6 2 2 2" xfId="296" xr:uid="{00000000-0005-0000-0000-000015010000}"/>
    <cellStyle name="20% - Accent1 6 2 3" xfId="297" xr:uid="{00000000-0005-0000-0000-000016010000}"/>
    <cellStyle name="20% - Accent1 6 2 3 2" xfId="298" xr:uid="{00000000-0005-0000-0000-000017010000}"/>
    <cellStyle name="20% - Accent1 6 2 4" xfId="299" xr:uid="{00000000-0005-0000-0000-000018010000}"/>
    <cellStyle name="20% - Accent1 6 2 4 2" xfId="300" xr:uid="{00000000-0005-0000-0000-000019010000}"/>
    <cellStyle name="20% - Accent1 6 2 5" xfId="301" xr:uid="{00000000-0005-0000-0000-00001A010000}"/>
    <cellStyle name="20% - Accent1 6 2 5 2" xfId="302" xr:uid="{00000000-0005-0000-0000-00001B010000}"/>
    <cellStyle name="20% - Accent1 6 2 6" xfId="303" xr:uid="{00000000-0005-0000-0000-00001C010000}"/>
    <cellStyle name="20% - Accent1 6 3" xfId="304" xr:uid="{00000000-0005-0000-0000-00001D010000}"/>
    <cellStyle name="20% - Accent1 6 3 2" xfId="305" xr:uid="{00000000-0005-0000-0000-00001E010000}"/>
    <cellStyle name="20% - Accent1 6 3 2 2" xfId="306" xr:uid="{00000000-0005-0000-0000-00001F010000}"/>
    <cellStyle name="20% - Accent1 6 3 3" xfId="307" xr:uid="{00000000-0005-0000-0000-000020010000}"/>
    <cellStyle name="20% - Accent1 6 3 3 2" xfId="308" xr:uid="{00000000-0005-0000-0000-000021010000}"/>
    <cellStyle name="20% - Accent1 6 3 4" xfId="309" xr:uid="{00000000-0005-0000-0000-000022010000}"/>
    <cellStyle name="20% - Accent1 6 3 4 2" xfId="310" xr:uid="{00000000-0005-0000-0000-000023010000}"/>
    <cellStyle name="20% - Accent1 6 3 5" xfId="311" xr:uid="{00000000-0005-0000-0000-000024010000}"/>
    <cellStyle name="20% - Accent1 6 3 5 2" xfId="312" xr:uid="{00000000-0005-0000-0000-000025010000}"/>
    <cellStyle name="20% - Accent1 6 3 6" xfId="313" xr:uid="{00000000-0005-0000-0000-000026010000}"/>
    <cellStyle name="20% - Accent1 6 4" xfId="314" xr:uid="{00000000-0005-0000-0000-000027010000}"/>
    <cellStyle name="20% - Accent1 6 4 2" xfId="315" xr:uid="{00000000-0005-0000-0000-000028010000}"/>
    <cellStyle name="20% - Accent1 6 5" xfId="316" xr:uid="{00000000-0005-0000-0000-000029010000}"/>
    <cellStyle name="20% - Accent1 6 5 2" xfId="317" xr:uid="{00000000-0005-0000-0000-00002A010000}"/>
    <cellStyle name="20% - Accent1 6 6" xfId="318" xr:uid="{00000000-0005-0000-0000-00002B010000}"/>
    <cellStyle name="20% - Accent1 6 6 2" xfId="319" xr:uid="{00000000-0005-0000-0000-00002C010000}"/>
    <cellStyle name="20% - Accent1 6 7" xfId="320" xr:uid="{00000000-0005-0000-0000-00002D010000}"/>
    <cellStyle name="20% - Accent1 6 7 2" xfId="321" xr:uid="{00000000-0005-0000-0000-00002E010000}"/>
    <cellStyle name="20% - Accent1 6 8" xfId="322" xr:uid="{00000000-0005-0000-0000-00002F010000}"/>
    <cellStyle name="20% - Accent1 6 8 2" xfId="323" xr:uid="{00000000-0005-0000-0000-000030010000}"/>
    <cellStyle name="20% - Accent1 6 9" xfId="324" xr:uid="{00000000-0005-0000-0000-000031010000}"/>
    <cellStyle name="20% - Accent1 6 9 2" xfId="325" xr:uid="{00000000-0005-0000-0000-000032010000}"/>
    <cellStyle name="20% - Accent1 7" xfId="326" xr:uid="{00000000-0005-0000-0000-000033010000}"/>
    <cellStyle name="20% - Accent1 7 10" xfId="327" xr:uid="{00000000-0005-0000-0000-000034010000}"/>
    <cellStyle name="20% - Accent1 7 2" xfId="328" xr:uid="{00000000-0005-0000-0000-000035010000}"/>
    <cellStyle name="20% - Accent1 7 2 2" xfId="329" xr:uid="{00000000-0005-0000-0000-000036010000}"/>
    <cellStyle name="20% - Accent1 7 2 2 2" xfId="330" xr:uid="{00000000-0005-0000-0000-000037010000}"/>
    <cellStyle name="20% - Accent1 7 2 3" xfId="331" xr:uid="{00000000-0005-0000-0000-000038010000}"/>
    <cellStyle name="20% - Accent1 7 2 3 2" xfId="332" xr:uid="{00000000-0005-0000-0000-000039010000}"/>
    <cellStyle name="20% - Accent1 7 2 4" xfId="333" xr:uid="{00000000-0005-0000-0000-00003A010000}"/>
    <cellStyle name="20% - Accent1 7 2 4 2" xfId="334" xr:uid="{00000000-0005-0000-0000-00003B010000}"/>
    <cellStyle name="20% - Accent1 7 2 5" xfId="335" xr:uid="{00000000-0005-0000-0000-00003C010000}"/>
    <cellStyle name="20% - Accent1 7 2 5 2" xfId="336" xr:uid="{00000000-0005-0000-0000-00003D010000}"/>
    <cellStyle name="20% - Accent1 7 2 6" xfId="337" xr:uid="{00000000-0005-0000-0000-00003E010000}"/>
    <cellStyle name="20% - Accent1 7 3" xfId="338" xr:uid="{00000000-0005-0000-0000-00003F010000}"/>
    <cellStyle name="20% - Accent1 7 3 2" xfId="339" xr:uid="{00000000-0005-0000-0000-000040010000}"/>
    <cellStyle name="20% - Accent1 7 3 2 2" xfId="340" xr:uid="{00000000-0005-0000-0000-000041010000}"/>
    <cellStyle name="20% - Accent1 7 3 3" xfId="341" xr:uid="{00000000-0005-0000-0000-000042010000}"/>
    <cellStyle name="20% - Accent1 7 3 3 2" xfId="342" xr:uid="{00000000-0005-0000-0000-000043010000}"/>
    <cellStyle name="20% - Accent1 7 3 4" xfId="343" xr:uid="{00000000-0005-0000-0000-000044010000}"/>
    <cellStyle name="20% - Accent1 7 3 4 2" xfId="344" xr:uid="{00000000-0005-0000-0000-000045010000}"/>
    <cellStyle name="20% - Accent1 7 3 5" xfId="345" xr:uid="{00000000-0005-0000-0000-000046010000}"/>
    <cellStyle name="20% - Accent1 7 3 5 2" xfId="346" xr:uid="{00000000-0005-0000-0000-000047010000}"/>
    <cellStyle name="20% - Accent1 7 3 6" xfId="347" xr:uid="{00000000-0005-0000-0000-000048010000}"/>
    <cellStyle name="20% - Accent1 7 4" xfId="348" xr:uid="{00000000-0005-0000-0000-000049010000}"/>
    <cellStyle name="20% - Accent1 7 4 2" xfId="349" xr:uid="{00000000-0005-0000-0000-00004A010000}"/>
    <cellStyle name="20% - Accent1 7 5" xfId="350" xr:uid="{00000000-0005-0000-0000-00004B010000}"/>
    <cellStyle name="20% - Accent1 7 5 2" xfId="351" xr:uid="{00000000-0005-0000-0000-00004C010000}"/>
    <cellStyle name="20% - Accent1 7 6" xfId="352" xr:uid="{00000000-0005-0000-0000-00004D010000}"/>
    <cellStyle name="20% - Accent1 7 6 2" xfId="353" xr:uid="{00000000-0005-0000-0000-00004E010000}"/>
    <cellStyle name="20% - Accent1 7 7" xfId="354" xr:uid="{00000000-0005-0000-0000-00004F010000}"/>
    <cellStyle name="20% - Accent1 7 7 2" xfId="355" xr:uid="{00000000-0005-0000-0000-000050010000}"/>
    <cellStyle name="20% - Accent1 7 8" xfId="356" xr:uid="{00000000-0005-0000-0000-000051010000}"/>
    <cellStyle name="20% - Accent1 7 8 2" xfId="357" xr:uid="{00000000-0005-0000-0000-000052010000}"/>
    <cellStyle name="20% - Accent1 7 9" xfId="358" xr:uid="{00000000-0005-0000-0000-000053010000}"/>
    <cellStyle name="20% - Accent1 7 9 2" xfId="359" xr:uid="{00000000-0005-0000-0000-000054010000}"/>
    <cellStyle name="20% - Accent1 8" xfId="360" xr:uid="{00000000-0005-0000-0000-000055010000}"/>
    <cellStyle name="20% - Accent1 8 2" xfId="361" xr:uid="{00000000-0005-0000-0000-000056010000}"/>
    <cellStyle name="20% - Accent1 8 2 2" xfId="362" xr:uid="{00000000-0005-0000-0000-000057010000}"/>
    <cellStyle name="20% - Accent1 8 3" xfId="363" xr:uid="{00000000-0005-0000-0000-000058010000}"/>
    <cellStyle name="20% - Accent1 8 3 2" xfId="364" xr:uid="{00000000-0005-0000-0000-000059010000}"/>
    <cellStyle name="20% - Accent1 8 4" xfId="365" xr:uid="{00000000-0005-0000-0000-00005A010000}"/>
    <cellStyle name="20% - Accent1 8 4 2" xfId="366" xr:uid="{00000000-0005-0000-0000-00005B010000}"/>
    <cellStyle name="20% - Accent1 8 5" xfId="367" xr:uid="{00000000-0005-0000-0000-00005C010000}"/>
    <cellStyle name="20% - Accent1 8 5 2" xfId="368" xr:uid="{00000000-0005-0000-0000-00005D010000}"/>
    <cellStyle name="20% - Accent1 8 6" xfId="369" xr:uid="{00000000-0005-0000-0000-00005E010000}"/>
    <cellStyle name="20% - Accent1 9" xfId="370" xr:uid="{00000000-0005-0000-0000-00005F010000}"/>
    <cellStyle name="20% - Accent1 9 2" xfId="371" xr:uid="{00000000-0005-0000-0000-000060010000}"/>
    <cellStyle name="20% - Accent1 9 2 2" xfId="372" xr:uid="{00000000-0005-0000-0000-000061010000}"/>
    <cellStyle name="20% - Accent1 9 3" xfId="373" xr:uid="{00000000-0005-0000-0000-000062010000}"/>
    <cellStyle name="20% - Accent1 9 3 2" xfId="374" xr:uid="{00000000-0005-0000-0000-000063010000}"/>
    <cellStyle name="20% - Accent1 9 4" xfId="375" xr:uid="{00000000-0005-0000-0000-000064010000}"/>
    <cellStyle name="20% - Accent1 9 4 2" xfId="376" xr:uid="{00000000-0005-0000-0000-000065010000}"/>
    <cellStyle name="20% - Accent1 9 5" xfId="377" xr:uid="{00000000-0005-0000-0000-000066010000}"/>
    <cellStyle name="20% - Accent1 9 5 2" xfId="378" xr:uid="{00000000-0005-0000-0000-000067010000}"/>
    <cellStyle name="20% - Accent1 9 6" xfId="379" xr:uid="{00000000-0005-0000-0000-000068010000}"/>
    <cellStyle name="20% - Accent2 10" xfId="380" xr:uid="{00000000-0005-0000-0000-000069010000}"/>
    <cellStyle name="20% - Accent2 10 2" xfId="381" xr:uid="{00000000-0005-0000-0000-00006A010000}"/>
    <cellStyle name="20% - Accent2 10 2 2" xfId="382" xr:uid="{00000000-0005-0000-0000-00006B010000}"/>
    <cellStyle name="20% - Accent2 10 3" xfId="383" xr:uid="{00000000-0005-0000-0000-00006C010000}"/>
    <cellStyle name="20% - Accent2 10 3 2" xfId="384" xr:uid="{00000000-0005-0000-0000-00006D010000}"/>
    <cellStyle name="20% - Accent2 10 4" xfId="385" xr:uid="{00000000-0005-0000-0000-00006E010000}"/>
    <cellStyle name="20% - Accent2 11" xfId="386" xr:uid="{00000000-0005-0000-0000-00006F010000}"/>
    <cellStyle name="20% - Accent2 11 2" xfId="387" xr:uid="{00000000-0005-0000-0000-000070010000}"/>
    <cellStyle name="20% - Accent2 12" xfId="388" xr:uid="{00000000-0005-0000-0000-000071010000}"/>
    <cellStyle name="20% - Accent2 12 2" xfId="389" xr:uid="{00000000-0005-0000-0000-000072010000}"/>
    <cellStyle name="20% - Accent2 13" xfId="390" xr:uid="{00000000-0005-0000-0000-000073010000}"/>
    <cellStyle name="20% - Accent2 13 2" xfId="391" xr:uid="{00000000-0005-0000-0000-000074010000}"/>
    <cellStyle name="20% - Accent2 14" xfId="392" xr:uid="{00000000-0005-0000-0000-000075010000}"/>
    <cellStyle name="20% - Accent2 14 2" xfId="393" xr:uid="{00000000-0005-0000-0000-000076010000}"/>
    <cellStyle name="20% - Accent2 15" xfId="394" xr:uid="{00000000-0005-0000-0000-000077010000}"/>
    <cellStyle name="20% - Accent2 15 2" xfId="395" xr:uid="{00000000-0005-0000-0000-000078010000}"/>
    <cellStyle name="20% - Accent2 16" xfId="396" xr:uid="{00000000-0005-0000-0000-000079010000}"/>
    <cellStyle name="20% - Accent2 16 2" xfId="397" xr:uid="{00000000-0005-0000-0000-00007A010000}"/>
    <cellStyle name="20% - Accent2 17" xfId="398" xr:uid="{00000000-0005-0000-0000-00007B010000}"/>
    <cellStyle name="20% - Accent2 17 2" xfId="399" xr:uid="{00000000-0005-0000-0000-00007C010000}"/>
    <cellStyle name="20% - Accent2 18" xfId="400" xr:uid="{00000000-0005-0000-0000-00007D010000}"/>
    <cellStyle name="20% - Accent2 18 2" xfId="401" xr:uid="{00000000-0005-0000-0000-00007E010000}"/>
    <cellStyle name="20% - Accent2 19" xfId="402" xr:uid="{00000000-0005-0000-0000-00007F010000}"/>
    <cellStyle name="20% - Accent2 19 2" xfId="403" xr:uid="{00000000-0005-0000-0000-000080010000}"/>
    <cellStyle name="20% - Accent2 2" xfId="404" xr:uid="{00000000-0005-0000-0000-000081010000}"/>
    <cellStyle name="20% - Accent2 2 10" xfId="405" xr:uid="{00000000-0005-0000-0000-000082010000}"/>
    <cellStyle name="20% - Accent2 2 10 2" xfId="406" xr:uid="{00000000-0005-0000-0000-000083010000}"/>
    <cellStyle name="20% - Accent2 2 11" xfId="407" xr:uid="{00000000-0005-0000-0000-000084010000}"/>
    <cellStyle name="20% - Accent2 2 2" xfId="408" xr:uid="{00000000-0005-0000-0000-000085010000}"/>
    <cellStyle name="20% - Accent2 2 2 10" xfId="409" xr:uid="{00000000-0005-0000-0000-000086010000}"/>
    <cellStyle name="20% - Accent2 2 2 2" xfId="410" xr:uid="{00000000-0005-0000-0000-000087010000}"/>
    <cellStyle name="20% - Accent2 2 2 2 2" xfId="411" xr:uid="{00000000-0005-0000-0000-000088010000}"/>
    <cellStyle name="20% - Accent2 2 2 2 2 2" xfId="412" xr:uid="{00000000-0005-0000-0000-000089010000}"/>
    <cellStyle name="20% - Accent2 2 2 2 3" xfId="413" xr:uid="{00000000-0005-0000-0000-00008A010000}"/>
    <cellStyle name="20% - Accent2 2 2 2 3 2" xfId="414" xr:uid="{00000000-0005-0000-0000-00008B010000}"/>
    <cellStyle name="20% - Accent2 2 2 2 4" xfId="415" xr:uid="{00000000-0005-0000-0000-00008C010000}"/>
    <cellStyle name="20% - Accent2 2 2 2 4 2" xfId="416" xr:uid="{00000000-0005-0000-0000-00008D010000}"/>
    <cellStyle name="20% - Accent2 2 2 2 5" xfId="417" xr:uid="{00000000-0005-0000-0000-00008E010000}"/>
    <cellStyle name="20% - Accent2 2 2 2 5 2" xfId="418" xr:uid="{00000000-0005-0000-0000-00008F010000}"/>
    <cellStyle name="20% - Accent2 2 2 2 6" xfId="419" xr:uid="{00000000-0005-0000-0000-000090010000}"/>
    <cellStyle name="20% - Accent2 2 2 3" xfId="420" xr:uid="{00000000-0005-0000-0000-000091010000}"/>
    <cellStyle name="20% - Accent2 2 2 3 2" xfId="421" xr:uid="{00000000-0005-0000-0000-000092010000}"/>
    <cellStyle name="20% - Accent2 2 2 3 2 2" xfId="422" xr:uid="{00000000-0005-0000-0000-000093010000}"/>
    <cellStyle name="20% - Accent2 2 2 3 3" xfId="423" xr:uid="{00000000-0005-0000-0000-000094010000}"/>
    <cellStyle name="20% - Accent2 2 2 3 3 2" xfId="424" xr:uid="{00000000-0005-0000-0000-000095010000}"/>
    <cellStyle name="20% - Accent2 2 2 3 4" xfId="425" xr:uid="{00000000-0005-0000-0000-000096010000}"/>
    <cellStyle name="20% - Accent2 2 2 3 4 2" xfId="426" xr:uid="{00000000-0005-0000-0000-000097010000}"/>
    <cellStyle name="20% - Accent2 2 2 3 5" xfId="427" xr:uid="{00000000-0005-0000-0000-000098010000}"/>
    <cellStyle name="20% - Accent2 2 2 3 5 2" xfId="428" xr:uid="{00000000-0005-0000-0000-000099010000}"/>
    <cellStyle name="20% - Accent2 2 2 3 6" xfId="429" xr:uid="{00000000-0005-0000-0000-00009A010000}"/>
    <cellStyle name="20% - Accent2 2 2 4" xfId="430" xr:uid="{00000000-0005-0000-0000-00009B010000}"/>
    <cellStyle name="20% - Accent2 2 2 4 2" xfId="431" xr:uid="{00000000-0005-0000-0000-00009C010000}"/>
    <cellStyle name="20% - Accent2 2 2 5" xfId="432" xr:uid="{00000000-0005-0000-0000-00009D010000}"/>
    <cellStyle name="20% - Accent2 2 2 5 2" xfId="433" xr:uid="{00000000-0005-0000-0000-00009E010000}"/>
    <cellStyle name="20% - Accent2 2 2 6" xfId="434" xr:uid="{00000000-0005-0000-0000-00009F010000}"/>
    <cellStyle name="20% - Accent2 2 2 6 2" xfId="435" xr:uid="{00000000-0005-0000-0000-0000A0010000}"/>
    <cellStyle name="20% - Accent2 2 2 7" xfId="436" xr:uid="{00000000-0005-0000-0000-0000A1010000}"/>
    <cellStyle name="20% - Accent2 2 2 7 2" xfId="437" xr:uid="{00000000-0005-0000-0000-0000A2010000}"/>
    <cellStyle name="20% - Accent2 2 2 8" xfId="438" xr:uid="{00000000-0005-0000-0000-0000A3010000}"/>
    <cellStyle name="20% - Accent2 2 2 8 2" xfId="439" xr:uid="{00000000-0005-0000-0000-0000A4010000}"/>
    <cellStyle name="20% - Accent2 2 2 9" xfId="440" xr:uid="{00000000-0005-0000-0000-0000A5010000}"/>
    <cellStyle name="20% - Accent2 2 2 9 2" xfId="441" xr:uid="{00000000-0005-0000-0000-0000A6010000}"/>
    <cellStyle name="20% - Accent2 2 3" xfId="442" xr:uid="{00000000-0005-0000-0000-0000A7010000}"/>
    <cellStyle name="20% - Accent2 2 3 2" xfId="443" xr:uid="{00000000-0005-0000-0000-0000A8010000}"/>
    <cellStyle name="20% - Accent2 2 3 2 2" xfId="444" xr:uid="{00000000-0005-0000-0000-0000A9010000}"/>
    <cellStyle name="20% - Accent2 2 3 3" xfId="445" xr:uid="{00000000-0005-0000-0000-0000AA010000}"/>
    <cellStyle name="20% - Accent2 2 3 3 2" xfId="446" xr:uid="{00000000-0005-0000-0000-0000AB010000}"/>
    <cellStyle name="20% - Accent2 2 3 4" xfId="447" xr:uid="{00000000-0005-0000-0000-0000AC010000}"/>
    <cellStyle name="20% - Accent2 2 3 4 2" xfId="448" xr:uid="{00000000-0005-0000-0000-0000AD010000}"/>
    <cellStyle name="20% - Accent2 2 3 5" xfId="449" xr:uid="{00000000-0005-0000-0000-0000AE010000}"/>
    <cellStyle name="20% - Accent2 2 3 5 2" xfId="450" xr:uid="{00000000-0005-0000-0000-0000AF010000}"/>
    <cellStyle name="20% - Accent2 2 3 6" xfId="451" xr:uid="{00000000-0005-0000-0000-0000B0010000}"/>
    <cellStyle name="20% - Accent2 2 4" xfId="452" xr:uid="{00000000-0005-0000-0000-0000B1010000}"/>
    <cellStyle name="20% - Accent2 2 4 2" xfId="453" xr:uid="{00000000-0005-0000-0000-0000B2010000}"/>
    <cellStyle name="20% - Accent2 2 4 2 2" xfId="454" xr:uid="{00000000-0005-0000-0000-0000B3010000}"/>
    <cellStyle name="20% - Accent2 2 4 3" xfId="455" xr:uid="{00000000-0005-0000-0000-0000B4010000}"/>
    <cellStyle name="20% - Accent2 2 4 3 2" xfId="456" xr:uid="{00000000-0005-0000-0000-0000B5010000}"/>
    <cellStyle name="20% - Accent2 2 4 4" xfId="457" xr:uid="{00000000-0005-0000-0000-0000B6010000}"/>
    <cellStyle name="20% - Accent2 2 4 4 2" xfId="458" xr:uid="{00000000-0005-0000-0000-0000B7010000}"/>
    <cellStyle name="20% - Accent2 2 4 5" xfId="459" xr:uid="{00000000-0005-0000-0000-0000B8010000}"/>
    <cellStyle name="20% - Accent2 2 4 5 2" xfId="460" xr:uid="{00000000-0005-0000-0000-0000B9010000}"/>
    <cellStyle name="20% - Accent2 2 4 6" xfId="461" xr:uid="{00000000-0005-0000-0000-0000BA010000}"/>
    <cellStyle name="20% - Accent2 2 5" xfId="462" xr:uid="{00000000-0005-0000-0000-0000BB010000}"/>
    <cellStyle name="20% - Accent2 2 5 2" xfId="463" xr:uid="{00000000-0005-0000-0000-0000BC010000}"/>
    <cellStyle name="20% - Accent2 2 6" xfId="464" xr:uid="{00000000-0005-0000-0000-0000BD010000}"/>
    <cellStyle name="20% - Accent2 2 6 2" xfId="465" xr:uid="{00000000-0005-0000-0000-0000BE010000}"/>
    <cellStyle name="20% - Accent2 2 7" xfId="466" xr:uid="{00000000-0005-0000-0000-0000BF010000}"/>
    <cellStyle name="20% - Accent2 2 7 2" xfId="467" xr:uid="{00000000-0005-0000-0000-0000C0010000}"/>
    <cellStyle name="20% - Accent2 2 8" xfId="468" xr:uid="{00000000-0005-0000-0000-0000C1010000}"/>
    <cellStyle name="20% - Accent2 2 8 2" xfId="469" xr:uid="{00000000-0005-0000-0000-0000C2010000}"/>
    <cellStyle name="20% - Accent2 2 9" xfId="470" xr:uid="{00000000-0005-0000-0000-0000C3010000}"/>
    <cellStyle name="20% - Accent2 2 9 2" xfId="471" xr:uid="{00000000-0005-0000-0000-0000C4010000}"/>
    <cellStyle name="20% - Accent2 20" xfId="472" xr:uid="{00000000-0005-0000-0000-0000C5010000}"/>
    <cellStyle name="20% - Accent2 20 2" xfId="473" xr:uid="{00000000-0005-0000-0000-0000C6010000}"/>
    <cellStyle name="20% - Accent2 3" xfId="474" xr:uid="{00000000-0005-0000-0000-0000C7010000}"/>
    <cellStyle name="20% - Accent2 3 10" xfId="475" xr:uid="{00000000-0005-0000-0000-0000C8010000}"/>
    <cellStyle name="20% - Accent2 3 10 2" xfId="476" xr:uid="{00000000-0005-0000-0000-0000C9010000}"/>
    <cellStyle name="20% - Accent2 3 11" xfId="477" xr:uid="{00000000-0005-0000-0000-0000CA010000}"/>
    <cellStyle name="20% - Accent2 3 2" xfId="478" xr:uid="{00000000-0005-0000-0000-0000CB010000}"/>
    <cellStyle name="20% - Accent2 3 2 10" xfId="479" xr:uid="{00000000-0005-0000-0000-0000CC010000}"/>
    <cellStyle name="20% - Accent2 3 2 2" xfId="480" xr:uid="{00000000-0005-0000-0000-0000CD010000}"/>
    <cellStyle name="20% - Accent2 3 2 2 2" xfId="481" xr:uid="{00000000-0005-0000-0000-0000CE010000}"/>
    <cellStyle name="20% - Accent2 3 2 2 2 2" xfId="482" xr:uid="{00000000-0005-0000-0000-0000CF010000}"/>
    <cellStyle name="20% - Accent2 3 2 2 3" xfId="483" xr:uid="{00000000-0005-0000-0000-0000D0010000}"/>
    <cellStyle name="20% - Accent2 3 2 2 3 2" xfId="484" xr:uid="{00000000-0005-0000-0000-0000D1010000}"/>
    <cellStyle name="20% - Accent2 3 2 2 4" xfId="485" xr:uid="{00000000-0005-0000-0000-0000D2010000}"/>
    <cellStyle name="20% - Accent2 3 2 2 4 2" xfId="486" xr:uid="{00000000-0005-0000-0000-0000D3010000}"/>
    <cellStyle name="20% - Accent2 3 2 2 5" xfId="487" xr:uid="{00000000-0005-0000-0000-0000D4010000}"/>
    <cellStyle name="20% - Accent2 3 2 2 5 2" xfId="488" xr:uid="{00000000-0005-0000-0000-0000D5010000}"/>
    <cellStyle name="20% - Accent2 3 2 2 6" xfId="489" xr:uid="{00000000-0005-0000-0000-0000D6010000}"/>
    <cellStyle name="20% - Accent2 3 2 3" xfId="490" xr:uid="{00000000-0005-0000-0000-0000D7010000}"/>
    <cellStyle name="20% - Accent2 3 2 3 2" xfId="491" xr:uid="{00000000-0005-0000-0000-0000D8010000}"/>
    <cellStyle name="20% - Accent2 3 2 3 2 2" xfId="492" xr:uid="{00000000-0005-0000-0000-0000D9010000}"/>
    <cellStyle name="20% - Accent2 3 2 3 3" xfId="493" xr:uid="{00000000-0005-0000-0000-0000DA010000}"/>
    <cellStyle name="20% - Accent2 3 2 3 3 2" xfId="494" xr:uid="{00000000-0005-0000-0000-0000DB010000}"/>
    <cellStyle name="20% - Accent2 3 2 3 4" xfId="495" xr:uid="{00000000-0005-0000-0000-0000DC010000}"/>
    <cellStyle name="20% - Accent2 3 2 3 4 2" xfId="496" xr:uid="{00000000-0005-0000-0000-0000DD010000}"/>
    <cellStyle name="20% - Accent2 3 2 3 5" xfId="497" xr:uid="{00000000-0005-0000-0000-0000DE010000}"/>
    <cellStyle name="20% - Accent2 3 2 3 5 2" xfId="498" xr:uid="{00000000-0005-0000-0000-0000DF010000}"/>
    <cellStyle name="20% - Accent2 3 2 3 6" xfId="499" xr:uid="{00000000-0005-0000-0000-0000E0010000}"/>
    <cellStyle name="20% - Accent2 3 2 4" xfId="500" xr:uid="{00000000-0005-0000-0000-0000E1010000}"/>
    <cellStyle name="20% - Accent2 3 2 4 2" xfId="501" xr:uid="{00000000-0005-0000-0000-0000E2010000}"/>
    <cellStyle name="20% - Accent2 3 2 5" xfId="502" xr:uid="{00000000-0005-0000-0000-0000E3010000}"/>
    <cellStyle name="20% - Accent2 3 2 5 2" xfId="503" xr:uid="{00000000-0005-0000-0000-0000E4010000}"/>
    <cellStyle name="20% - Accent2 3 2 6" xfId="504" xr:uid="{00000000-0005-0000-0000-0000E5010000}"/>
    <cellStyle name="20% - Accent2 3 2 6 2" xfId="505" xr:uid="{00000000-0005-0000-0000-0000E6010000}"/>
    <cellStyle name="20% - Accent2 3 2 7" xfId="506" xr:uid="{00000000-0005-0000-0000-0000E7010000}"/>
    <cellStyle name="20% - Accent2 3 2 7 2" xfId="507" xr:uid="{00000000-0005-0000-0000-0000E8010000}"/>
    <cellStyle name="20% - Accent2 3 2 8" xfId="508" xr:uid="{00000000-0005-0000-0000-0000E9010000}"/>
    <cellStyle name="20% - Accent2 3 2 8 2" xfId="509" xr:uid="{00000000-0005-0000-0000-0000EA010000}"/>
    <cellStyle name="20% - Accent2 3 2 9" xfId="510" xr:uid="{00000000-0005-0000-0000-0000EB010000}"/>
    <cellStyle name="20% - Accent2 3 2 9 2" xfId="511" xr:uid="{00000000-0005-0000-0000-0000EC010000}"/>
    <cellStyle name="20% - Accent2 3 3" xfId="512" xr:uid="{00000000-0005-0000-0000-0000ED010000}"/>
    <cellStyle name="20% - Accent2 3 3 2" xfId="513" xr:uid="{00000000-0005-0000-0000-0000EE010000}"/>
    <cellStyle name="20% - Accent2 3 3 2 2" xfId="514" xr:uid="{00000000-0005-0000-0000-0000EF010000}"/>
    <cellStyle name="20% - Accent2 3 3 3" xfId="515" xr:uid="{00000000-0005-0000-0000-0000F0010000}"/>
    <cellStyle name="20% - Accent2 3 3 3 2" xfId="516" xr:uid="{00000000-0005-0000-0000-0000F1010000}"/>
    <cellStyle name="20% - Accent2 3 3 4" xfId="517" xr:uid="{00000000-0005-0000-0000-0000F2010000}"/>
    <cellStyle name="20% - Accent2 3 3 4 2" xfId="518" xr:uid="{00000000-0005-0000-0000-0000F3010000}"/>
    <cellStyle name="20% - Accent2 3 3 5" xfId="519" xr:uid="{00000000-0005-0000-0000-0000F4010000}"/>
    <cellStyle name="20% - Accent2 3 3 5 2" xfId="520" xr:uid="{00000000-0005-0000-0000-0000F5010000}"/>
    <cellStyle name="20% - Accent2 3 3 6" xfId="521" xr:uid="{00000000-0005-0000-0000-0000F6010000}"/>
    <cellStyle name="20% - Accent2 3 4" xfId="522" xr:uid="{00000000-0005-0000-0000-0000F7010000}"/>
    <cellStyle name="20% - Accent2 3 4 2" xfId="523" xr:uid="{00000000-0005-0000-0000-0000F8010000}"/>
    <cellStyle name="20% - Accent2 3 4 2 2" xfId="524" xr:uid="{00000000-0005-0000-0000-0000F9010000}"/>
    <cellStyle name="20% - Accent2 3 4 3" xfId="525" xr:uid="{00000000-0005-0000-0000-0000FA010000}"/>
    <cellStyle name="20% - Accent2 3 4 3 2" xfId="526" xr:uid="{00000000-0005-0000-0000-0000FB010000}"/>
    <cellStyle name="20% - Accent2 3 4 4" xfId="527" xr:uid="{00000000-0005-0000-0000-0000FC010000}"/>
    <cellStyle name="20% - Accent2 3 4 4 2" xfId="528" xr:uid="{00000000-0005-0000-0000-0000FD010000}"/>
    <cellStyle name="20% - Accent2 3 4 5" xfId="529" xr:uid="{00000000-0005-0000-0000-0000FE010000}"/>
    <cellStyle name="20% - Accent2 3 4 5 2" xfId="530" xr:uid="{00000000-0005-0000-0000-0000FF010000}"/>
    <cellStyle name="20% - Accent2 3 4 6" xfId="531" xr:uid="{00000000-0005-0000-0000-000000020000}"/>
    <cellStyle name="20% - Accent2 3 5" xfId="532" xr:uid="{00000000-0005-0000-0000-000001020000}"/>
    <cellStyle name="20% - Accent2 3 5 2" xfId="533" xr:uid="{00000000-0005-0000-0000-000002020000}"/>
    <cellStyle name="20% - Accent2 3 6" xfId="534" xr:uid="{00000000-0005-0000-0000-000003020000}"/>
    <cellStyle name="20% - Accent2 3 6 2" xfId="535" xr:uid="{00000000-0005-0000-0000-000004020000}"/>
    <cellStyle name="20% - Accent2 3 7" xfId="536" xr:uid="{00000000-0005-0000-0000-000005020000}"/>
    <cellStyle name="20% - Accent2 3 7 2" xfId="537" xr:uid="{00000000-0005-0000-0000-000006020000}"/>
    <cellStyle name="20% - Accent2 3 8" xfId="538" xr:uid="{00000000-0005-0000-0000-000007020000}"/>
    <cellStyle name="20% - Accent2 3 8 2" xfId="539" xr:uid="{00000000-0005-0000-0000-000008020000}"/>
    <cellStyle name="20% - Accent2 3 9" xfId="540" xr:uid="{00000000-0005-0000-0000-000009020000}"/>
    <cellStyle name="20% - Accent2 3 9 2" xfId="541" xr:uid="{00000000-0005-0000-0000-00000A020000}"/>
    <cellStyle name="20% - Accent2 4" xfId="542" xr:uid="{00000000-0005-0000-0000-00000B020000}"/>
    <cellStyle name="20% - Accent2 4 10" xfId="543" xr:uid="{00000000-0005-0000-0000-00000C020000}"/>
    <cellStyle name="20% - Accent2 4 10 2" xfId="544" xr:uid="{00000000-0005-0000-0000-00000D020000}"/>
    <cellStyle name="20% - Accent2 4 11" xfId="545" xr:uid="{00000000-0005-0000-0000-00000E020000}"/>
    <cellStyle name="20% - Accent2 4 2" xfId="546" xr:uid="{00000000-0005-0000-0000-00000F020000}"/>
    <cellStyle name="20% - Accent2 4 2 10" xfId="547" xr:uid="{00000000-0005-0000-0000-000010020000}"/>
    <cellStyle name="20% - Accent2 4 2 2" xfId="548" xr:uid="{00000000-0005-0000-0000-000011020000}"/>
    <cellStyle name="20% - Accent2 4 2 2 2" xfId="549" xr:uid="{00000000-0005-0000-0000-000012020000}"/>
    <cellStyle name="20% - Accent2 4 2 2 2 2" xfId="550" xr:uid="{00000000-0005-0000-0000-000013020000}"/>
    <cellStyle name="20% - Accent2 4 2 2 3" xfId="551" xr:uid="{00000000-0005-0000-0000-000014020000}"/>
    <cellStyle name="20% - Accent2 4 2 2 3 2" xfId="552" xr:uid="{00000000-0005-0000-0000-000015020000}"/>
    <cellStyle name="20% - Accent2 4 2 2 4" xfId="553" xr:uid="{00000000-0005-0000-0000-000016020000}"/>
    <cellStyle name="20% - Accent2 4 2 2 4 2" xfId="554" xr:uid="{00000000-0005-0000-0000-000017020000}"/>
    <cellStyle name="20% - Accent2 4 2 2 5" xfId="555" xr:uid="{00000000-0005-0000-0000-000018020000}"/>
    <cellStyle name="20% - Accent2 4 2 2 5 2" xfId="556" xr:uid="{00000000-0005-0000-0000-000019020000}"/>
    <cellStyle name="20% - Accent2 4 2 2 6" xfId="557" xr:uid="{00000000-0005-0000-0000-00001A020000}"/>
    <cellStyle name="20% - Accent2 4 2 3" xfId="558" xr:uid="{00000000-0005-0000-0000-00001B020000}"/>
    <cellStyle name="20% - Accent2 4 2 3 2" xfId="559" xr:uid="{00000000-0005-0000-0000-00001C020000}"/>
    <cellStyle name="20% - Accent2 4 2 3 2 2" xfId="560" xr:uid="{00000000-0005-0000-0000-00001D020000}"/>
    <cellStyle name="20% - Accent2 4 2 3 3" xfId="561" xr:uid="{00000000-0005-0000-0000-00001E020000}"/>
    <cellStyle name="20% - Accent2 4 2 3 3 2" xfId="562" xr:uid="{00000000-0005-0000-0000-00001F020000}"/>
    <cellStyle name="20% - Accent2 4 2 3 4" xfId="563" xr:uid="{00000000-0005-0000-0000-000020020000}"/>
    <cellStyle name="20% - Accent2 4 2 3 4 2" xfId="564" xr:uid="{00000000-0005-0000-0000-000021020000}"/>
    <cellStyle name="20% - Accent2 4 2 3 5" xfId="565" xr:uid="{00000000-0005-0000-0000-000022020000}"/>
    <cellStyle name="20% - Accent2 4 2 3 5 2" xfId="566" xr:uid="{00000000-0005-0000-0000-000023020000}"/>
    <cellStyle name="20% - Accent2 4 2 3 6" xfId="567" xr:uid="{00000000-0005-0000-0000-000024020000}"/>
    <cellStyle name="20% - Accent2 4 2 4" xfId="568" xr:uid="{00000000-0005-0000-0000-000025020000}"/>
    <cellStyle name="20% - Accent2 4 2 4 2" xfId="569" xr:uid="{00000000-0005-0000-0000-000026020000}"/>
    <cellStyle name="20% - Accent2 4 2 5" xfId="570" xr:uid="{00000000-0005-0000-0000-000027020000}"/>
    <cellStyle name="20% - Accent2 4 2 5 2" xfId="571" xr:uid="{00000000-0005-0000-0000-000028020000}"/>
    <cellStyle name="20% - Accent2 4 2 6" xfId="572" xr:uid="{00000000-0005-0000-0000-000029020000}"/>
    <cellStyle name="20% - Accent2 4 2 6 2" xfId="573" xr:uid="{00000000-0005-0000-0000-00002A020000}"/>
    <cellStyle name="20% - Accent2 4 2 7" xfId="574" xr:uid="{00000000-0005-0000-0000-00002B020000}"/>
    <cellStyle name="20% - Accent2 4 2 7 2" xfId="575" xr:uid="{00000000-0005-0000-0000-00002C020000}"/>
    <cellStyle name="20% - Accent2 4 2 8" xfId="576" xr:uid="{00000000-0005-0000-0000-00002D020000}"/>
    <cellStyle name="20% - Accent2 4 2 8 2" xfId="577" xr:uid="{00000000-0005-0000-0000-00002E020000}"/>
    <cellStyle name="20% - Accent2 4 2 9" xfId="578" xr:uid="{00000000-0005-0000-0000-00002F020000}"/>
    <cellStyle name="20% - Accent2 4 2 9 2" xfId="579" xr:uid="{00000000-0005-0000-0000-000030020000}"/>
    <cellStyle name="20% - Accent2 4 3" xfId="580" xr:uid="{00000000-0005-0000-0000-000031020000}"/>
    <cellStyle name="20% - Accent2 4 3 2" xfId="581" xr:uid="{00000000-0005-0000-0000-000032020000}"/>
    <cellStyle name="20% - Accent2 4 3 2 2" xfId="582" xr:uid="{00000000-0005-0000-0000-000033020000}"/>
    <cellStyle name="20% - Accent2 4 3 3" xfId="583" xr:uid="{00000000-0005-0000-0000-000034020000}"/>
    <cellStyle name="20% - Accent2 4 3 3 2" xfId="584" xr:uid="{00000000-0005-0000-0000-000035020000}"/>
    <cellStyle name="20% - Accent2 4 3 4" xfId="585" xr:uid="{00000000-0005-0000-0000-000036020000}"/>
    <cellStyle name="20% - Accent2 4 3 4 2" xfId="586" xr:uid="{00000000-0005-0000-0000-000037020000}"/>
    <cellStyle name="20% - Accent2 4 3 5" xfId="587" xr:uid="{00000000-0005-0000-0000-000038020000}"/>
    <cellStyle name="20% - Accent2 4 3 5 2" xfId="588" xr:uid="{00000000-0005-0000-0000-000039020000}"/>
    <cellStyle name="20% - Accent2 4 3 6" xfId="589" xr:uid="{00000000-0005-0000-0000-00003A020000}"/>
    <cellStyle name="20% - Accent2 4 4" xfId="590" xr:uid="{00000000-0005-0000-0000-00003B020000}"/>
    <cellStyle name="20% - Accent2 4 4 2" xfId="591" xr:uid="{00000000-0005-0000-0000-00003C020000}"/>
    <cellStyle name="20% - Accent2 4 4 2 2" xfId="592" xr:uid="{00000000-0005-0000-0000-00003D020000}"/>
    <cellStyle name="20% - Accent2 4 4 3" xfId="593" xr:uid="{00000000-0005-0000-0000-00003E020000}"/>
    <cellStyle name="20% - Accent2 4 4 3 2" xfId="594" xr:uid="{00000000-0005-0000-0000-00003F020000}"/>
    <cellStyle name="20% - Accent2 4 4 4" xfId="595" xr:uid="{00000000-0005-0000-0000-000040020000}"/>
    <cellStyle name="20% - Accent2 4 4 4 2" xfId="596" xr:uid="{00000000-0005-0000-0000-000041020000}"/>
    <cellStyle name="20% - Accent2 4 4 5" xfId="597" xr:uid="{00000000-0005-0000-0000-000042020000}"/>
    <cellStyle name="20% - Accent2 4 4 5 2" xfId="598" xr:uid="{00000000-0005-0000-0000-000043020000}"/>
    <cellStyle name="20% - Accent2 4 4 6" xfId="599" xr:uid="{00000000-0005-0000-0000-000044020000}"/>
    <cellStyle name="20% - Accent2 4 5" xfId="600" xr:uid="{00000000-0005-0000-0000-000045020000}"/>
    <cellStyle name="20% - Accent2 4 5 2" xfId="601" xr:uid="{00000000-0005-0000-0000-000046020000}"/>
    <cellStyle name="20% - Accent2 4 6" xfId="602" xr:uid="{00000000-0005-0000-0000-000047020000}"/>
    <cellStyle name="20% - Accent2 4 6 2" xfId="603" xr:uid="{00000000-0005-0000-0000-000048020000}"/>
    <cellStyle name="20% - Accent2 4 7" xfId="604" xr:uid="{00000000-0005-0000-0000-000049020000}"/>
    <cellStyle name="20% - Accent2 4 7 2" xfId="605" xr:uid="{00000000-0005-0000-0000-00004A020000}"/>
    <cellStyle name="20% - Accent2 4 8" xfId="606" xr:uid="{00000000-0005-0000-0000-00004B020000}"/>
    <cellStyle name="20% - Accent2 4 8 2" xfId="607" xr:uid="{00000000-0005-0000-0000-00004C020000}"/>
    <cellStyle name="20% - Accent2 4 9" xfId="608" xr:uid="{00000000-0005-0000-0000-00004D020000}"/>
    <cellStyle name="20% - Accent2 4 9 2" xfId="609" xr:uid="{00000000-0005-0000-0000-00004E020000}"/>
    <cellStyle name="20% - Accent2 5" xfId="610" xr:uid="{00000000-0005-0000-0000-00004F020000}"/>
    <cellStyle name="20% - Accent2 5 10" xfId="611" xr:uid="{00000000-0005-0000-0000-000050020000}"/>
    <cellStyle name="20% - Accent2 5 2" xfId="612" xr:uid="{00000000-0005-0000-0000-000051020000}"/>
    <cellStyle name="20% - Accent2 5 2 2" xfId="613" xr:uid="{00000000-0005-0000-0000-000052020000}"/>
    <cellStyle name="20% - Accent2 5 2 2 2" xfId="614" xr:uid="{00000000-0005-0000-0000-000053020000}"/>
    <cellStyle name="20% - Accent2 5 2 3" xfId="615" xr:uid="{00000000-0005-0000-0000-000054020000}"/>
    <cellStyle name="20% - Accent2 5 2 3 2" xfId="616" xr:uid="{00000000-0005-0000-0000-000055020000}"/>
    <cellStyle name="20% - Accent2 5 2 4" xfId="617" xr:uid="{00000000-0005-0000-0000-000056020000}"/>
    <cellStyle name="20% - Accent2 5 2 4 2" xfId="618" xr:uid="{00000000-0005-0000-0000-000057020000}"/>
    <cellStyle name="20% - Accent2 5 2 5" xfId="619" xr:uid="{00000000-0005-0000-0000-000058020000}"/>
    <cellStyle name="20% - Accent2 5 2 5 2" xfId="620" xr:uid="{00000000-0005-0000-0000-000059020000}"/>
    <cellStyle name="20% - Accent2 5 2 6" xfId="621" xr:uid="{00000000-0005-0000-0000-00005A020000}"/>
    <cellStyle name="20% - Accent2 5 3" xfId="622" xr:uid="{00000000-0005-0000-0000-00005B020000}"/>
    <cellStyle name="20% - Accent2 5 3 2" xfId="623" xr:uid="{00000000-0005-0000-0000-00005C020000}"/>
    <cellStyle name="20% - Accent2 5 3 2 2" xfId="624" xr:uid="{00000000-0005-0000-0000-00005D020000}"/>
    <cellStyle name="20% - Accent2 5 3 3" xfId="625" xr:uid="{00000000-0005-0000-0000-00005E020000}"/>
    <cellStyle name="20% - Accent2 5 3 3 2" xfId="626" xr:uid="{00000000-0005-0000-0000-00005F020000}"/>
    <cellStyle name="20% - Accent2 5 3 4" xfId="627" xr:uid="{00000000-0005-0000-0000-000060020000}"/>
    <cellStyle name="20% - Accent2 5 3 4 2" xfId="628" xr:uid="{00000000-0005-0000-0000-000061020000}"/>
    <cellStyle name="20% - Accent2 5 3 5" xfId="629" xr:uid="{00000000-0005-0000-0000-000062020000}"/>
    <cellStyle name="20% - Accent2 5 3 5 2" xfId="630" xr:uid="{00000000-0005-0000-0000-000063020000}"/>
    <cellStyle name="20% - Accent2 5 3 6" xfId="631" xr:uid="{00000000-0005-0000-0000-000064020000}"/>
    <cellStyle name="20% - Accent2 5 4" xfId="632" xr:uid="{00000000-0005-0000-0000-000065020000}"/>
    <cellStyle name="20% - Accent2 5 4 2" xfId="633" xr:uid="{00000000-0005-0000-0000-000066020000}"/>
    <cellStyle name="20% - Accent2 5 5" xfId="634" xr:uid="{00000000-0005-0000-0000-000067020000}"/>
    <cellStyle name="20% - Accent2 5 5 2" xfId="635" xr:uid="{00000000-0005-0000-0000-000068020000}"/>
    <cellStyle name="20% - Accent2 5 6" xfId="636" xr:uid="{00000000-0005-0000-0000-000069020000}"/>
    <cellStyle name="20% - Accent2 5 6 2" xfId="637" xr:uid="{00000000-0005-0000-0000-00006A020000}"/>
    <cellStyle name="20% - Accent2 5 7" xfId="638" xr:uid="{00000000-0005-0000-0000-00006B020000}"/>
    <cellStyle name="20% - Accent2 5 7 2" xfId="639" xr:uid="{00000000-0005-0000-0000-00006C020000}"/>
    <cellStyle name="20% - Accent2 5 8" xfId="640" xr:uid="{00000000-0005-0000-0000-00006D020000}"/>
    <cellStyle name="20% - Accent2 5 8 2" xfId="641" xr:uid="{00000000-0005-0000-0000-00006E020000}"/>
    <cellStyle name="20% - Accent2 5 9" xfId="642" xr:uid="{00000000-0005-0000-0000-00006F020000}"/>
    <cellStyle name="20% - Accent2 5 9 2" xfId="643" xr:uid="{00000000-0005-0000-0000-000070020000}"/>
    <cellStyle name="20% - Accent2 6" xfId="644" xr:uid="{00000000-0005-0000-0000-000071020000}"/>
    <cellStyle name="20% - Accent2 6 10" xfId="645" xr:uid="{00000000-0005-0000-0000-000072020000}"/>
    <cellStyle name="20% - Accent2 6 2" xfId="646" xr:uid="{00000000-0005-0000-0000-000073020000}"/>
    <cellStyle name="20% - Accent2 6 2 2" xfId="647" xr:uid="{00000000-0005-0000-0000-000074020000}"/>
    <cellStyle name="20% - Accent2 6 2 2 2" xfId="648" xr:uid="{00000000-0005-0000-0000-000075020000}"/>
    <cellStyle name="20% - Accent2 6 2 3" xfId="649" xr:uid="{00000000-0005-0000-0000-000076020000}"/>
    <cellStyle name="20% - Accent2 6 2 3 2" xfId="650" xr:uid="{00000000-0005-0000-0000-000077020000}"/>
    <cellStyle name="20% - Accent2 6 2 4" xfId="651" xr:uid="{00000000-0005-0000-0000-000078020000}"/>
    <cellStyle name="20% - Accent2 6 2 4 2" xfId="652" xr:uid="{00000000-0005-0000-0000-000079020000}"/>
    <cellStyle name="20% - Accent2 6 2 5" xfId="653" xr:uid="{00000000-0005-0000-0000-00007A020000}"/>
    <cellStyle name="20% - Accent2 6 2 5 2" xfId="654" xr:uid="{00000000-0005-0000-0000-00007B020000}"/>
    <cellStyle name="20% - Accent2 6 2 6" xfId="655" xr:uid="{00000000-0005-0000-0000-00007C020000}"/>
    <cellStyle name="20% - Accent2 6 3" xfId="656" xr:uid="{00000000-0005-0000-0000-00007D020000}"/>
    <cellStyle name="20% - Accent2 6 3 2" xfId="657" xr:uid="{00000000-0005-0000-0000-00007E020000}"/>
    <cellStyle name="20% - Accent2 6 3 2 2" xfId="658" xr:uid="{00000000-0005-0000-0000-00007F020000}"/>
    <cellStyle name="20% - Accent2 6 3 3" xfId="659" xr:uid="{00000000-0005-0000-0000-000080020000}"/>
    <cellStyle name="20% - Accent2 6 3 3 2" xfId="660" xr:uid="{00000000-0005-0000-0000-000081020000}"/>
    <cellStyle name="20% - Accent2 6 3 4" xfId="661" xr:uid="{00000000-0005-0000-0000-000082020000}"/>
    <cellStyle name="20% - Accent2 6 3 4 2" xfId="662" xr:uid="{00000000-0005-0000-0000-000083020000}"/>
    <cellStyle name="20% - Accent2 6 3 5" xfId="663" xr:uid="{00000000-0005-0000-0000-000084020000}"/>
    <cellStyle name="20% - Accent2 6 3 5 2" xfId="664" xr:uid="{00000000-0005-0000-0000-000085020000}"/>
    <cellStyle name="20% - Accent2 6 3 6" xfId="665" xr:uid="{00000000-0005-0000-0000-000086020000}"/>
    <cellStyle name="20% - Accent2 6 4" xfId="666" xr:uid="{00000000-0005-0000-0000-000087020000}"/>
    <cellStyle name="20% - Accent2 6 4 2" xfId="667" xr:uid="{00000000-0005-0000-0000-000088020000}"/>
    <cellStyle name="20% - Accent2 6 5" xfId="668" xr:uid="{00000000-0005-0000-0000-000089020000}"/>
    <cellStyle name="20% - Accent2 6 5 2" xfId="669" xr:uid="{00000000-0005-0000-0000-00008A020000}"/>
    <cellStyle name="20% - Accent2 6 6" xfId="670" xr:uid="{00000000-0005-0000-0000-00008B020000}"/>
    <cellStyle name="20% - Accent2 6 6 2" xfId="671" xr:uid="{00000000-0005-0000-0000-00008C020000}"/>
    <cellStyle name="20% - Accent2 6 7" xfId="672" xr:uid="{00000000-0005-0000-0000-00008D020000}"/>
    <cellStyle name="20% - Accent2 6 7 2" xfId="673" xr:uid="{00000000-0005-0000-0000-00008E020000}"/>
    <cellStyle name="20% - Accent2 6 8" xfId="674" xr:uid="{00000000-0005-0000-0000-00008F020000}"/>
    <cellStyle name="20% - Accent2 6 8 2" xfId="675" xr:uid="{00000000-0005-0000-0000-000090020000}"/>
    <cellStyle name="20% - Accent2 6 9" xfId="676" xr:uid="{00000000-0005-0000-0000-000091020000}"/>
    <cellStyle name="20% - Accent2 6 9 2" xfId="677" xr:uid="{00000000-0005-0000-0000-000092020000}"/>
    <cellStyle name="20% - Accent2 7" xfId="678" xr:uid="{00000000-0005-0000-0000-000093020000}"/>
    <cellStyle name="20% - Accent2 7 10" xfId="679" xr:uid="{00000000-0005-0000-0000-000094020000}"/>
    <cellStyle name="20% - Accent2 7 2" xfId="680" xr:uid="{00000000-0005-0000-0000-000095020000}"/>
    <cellStyle name="20% - Accent2 7 2 2" xfId="681" xr:uid="{00000000-0005-0000-0000-000096020000}"/>
    <cellStyle name="20% - Accent2 7 2 2 2" xfId="682" xr:uid="{00000000-0005-0000-0000-000097020000}"/>
    <cellStyle name="20% - Accent2 7 2 3" xfId="683" xr:uid="{00000000-0005-0000-0000-000098020000}"/>
    <cellStyle name="20% - Accent2 7 2 3 2" xfId="684" xr:uid="{00000000-0005-0000-0000-000099020000}"/>
    <cellStyle name="20% - Accent2 7 2 4" xfId="685" xr:uid="{00000000-0005-0000-0000-00009A020000}"/>
    <cellStyle name="20% - Accent2 7 2 4 2" xfId="686" xr:uid="{00000000-0005-0000-0000-00009B020000}"/>
    <cellStyle name="20% - Accent2 7 2 5" xfId="687" xr:uid="{00000000-0005-0000-0000-00009C020000}"/>
    <cellStyle name="20% - Accent2 7 2 5 2" xfId="688" xr:uid="{00000000-0005-0000-0000-00009D020000}"/>
    <cellStyle name="20% - Accent2 7 2 6" xfId="689" xr:uid="{00000000-0005-0000-0000-00009E020000}"/>
    <cellStyle name="20% - Accent2 7 3" xfId="690" xr:uid="{00000000-0005-0000-0000-00009F020000}"/>
    <cellStyle name="20% - Accent2 7 3 2" xfId="691" xr:uid="{00000000-0005-0000-0000-0000A0020000}"/>
    <cellStyle name="20% - Accent2 7 3 2 2" xfId="692" xr:uid="{00000000-0005-0000-0000-0000A1020000}"/>
    <cellStyle name="20% - Accent2 7 3 3" xfId="693" xr:uid="{00000000-0005-0000-0000-0000A2020000}"/>
    <cellStyle name="20% - Accent2 7 3 3 2" xfId="694" xr:uid="{00000000-0005-0000-0000-0000A3020000}"/>
    <cellStyle name="20% - Accent2 7 3 4" xfId="695" xr:uid="{00000000-0005-0000-0000-0000A4020000}"/>
    <cellStyle name="20% - Accent2 7 3 4 2" xfId="696" xr:uid="{00000000-0005-0000-0000-0000A5020000}"/>
    <cellStyle name="20% - Accent2 7 3 5" xfId="697" xr:uid="{00000000-0005-0000-0000-0000A6020000}"/>
    <cellStyle name="20% - Accent2 7 3 5 2" xfId="698" xr:uid="{00000000-0005-0000-0000-0000A7020000}"/>
    <cellStyle name="20% - Accent2 7 3 6" xfId="699" xr:uid="{00000000-0005-0000-0000-0000A8020000}"/>
    <cellStyle name="20% - Accent2 7 4" xfId="700" xr:uid="{00000000-0005-0000-0000-0000A9020000}"/>
    <cellStyle name="20% - Accent2 7 4 2" xfId="701" xr:uid="{00000000-0005-0000-0000-0000AA020000}"/>
    <cellStyle name="20% - Accent2 7 5" xfId="702" xr:uid="{00000000-0005-0000-0000-0000AB020000}"/>
    <cellStyle name="20% - Accent2 7 5 2" xfId="703" xr:uid="{00000000-0005-0000-0000-0000AC020000}"/>
    <cellStyle name="20% - Accent2 7 6" xfId="704" xr:uid="{00000000-0005-0000-0000-0000AD020000}"/>
    <cellStyle name="20% - Accent2 7 6 2" xfId="705" xr:uid="{00000000-0005-0000-0000-0000AE020000}"/>
    <cellStyle name="20% - Accent2 7 7" xfId="706" xr:uid="{00000000-0005-0000-0000-0000AF020000}"/>
    <cellStyle name="20% - Accent2 7 7 2" xfId="707" xr:uid="{00000000-0005-0000-0000-0000B0020000}"/>
    <cellStyle name="20% - Accent2 7 8" xfId="708" xr:uid="{00000000-0005-0000-0000-0000B1020000}"/>
    <cellStyle name="20% - Accent2 7 8 2" xfId="709" xr:uid="{00000000-0005-0000-0000-0000B2020000}"/>
    <cellStyle name="20% - Accent2 7 9" xfId="710" xr:uid="{00000000-0005-0000-0000-0000B3020000}"/>
    <cellStyle name="20% - Accent2 7 9 2" xfId="711" xr:uid="{00000000-0005-0000-0000-0000B4020000}"/>
    <cellStyle name="20% - Accent2 8" xfId="712" xr:uid="{00000000-0005-0000-0000-0000B5020000}"/>
    <cellStyle name="20% - Accent2 8 2" xfId="713" xr:uid="{00000000-0005-0000-0000-0000B6020000}"/>
    <cellStyle name="20% - Accent2 8 2 2" xfId="714" xr:uid="{00000000-0005-0000-0000-0000B7020000}"/>
    <cellStyle name="20% - Accent2 8 3" xfId="715" xr:uid="{00000000-0005-0000-0000-0000B8020000}"/>
    <cellStyle name="20% - Accent2 8 3 2" xfId="716" xr:uid="{00000000-0005-0000-0000-0000B9020000}"/>
    <cellStyle name="20% - Accent2 8 4" xfId="717" xr:uid="{00000000-0005-0000-0000-0000BA020000}"/>
    <cellStyle name="20% - Accent2 8 4 2" xfId="718" xr:uid="{00000000-0005-0000-0000-0000BB020000}"/>
    <cellStyle name="20% - Accent2 8 5" xfId="719" xr:uid="{00000000-0005-0000-0000-0000BC020000}"/>
    <cellStyle name="20% - Accent2 8 5 2" xfId="720" xr:uid="{00000000-0005-0000-0000-0000BD020000}"/>
    <cellStyle name="20% - Accent2 8 6" xfId="721" xr:uid="{00000000-0005-0000-0000-0000BE020000}"/>
    <cellStyle name="20% - Accent2 9" xfId="722" xr:uid="{00000000-0005-0000-0000-0000BF020000}"/>
    <cellStyle name="20% - Accent2 9 2" xfId="723" xr:uid="{00000000-0005-0000-0000-0000C0020000}"/>
    <cellStyle name="20% - Accent2 9 2 2" xfId="724" xr:uid="{00000000-0005-0000-0000-0000C1020000}"/>
    <cellStyle name="20% - Accent2 9 3" xfId="725" xr:uid="{00000000-0005-0000-0000-0000C2020000}"/>
    <cellStyle name="20% - Accent2 9 3 2" xfId="726" xr:uid="{00000000-0005-0000-0000-0000C3020000}"/>
    <cellStyle name="20% - Accent2 9 4" xfId="727" xr:uid="{00000000-0005-0000-0000-0000C4020000}"/>
    <cellStyle name="20% - Accent2 9 4 2" xfId="728" xr:uid="{00000000-0005-0000-0000-0000C5020000}"/>
    <cellStyle name="20% - Accent2 9 5" xfId="729" xr:uid="{00000000-0005-0000-0000-0000C6020000}"/>
    <cellStyle name="20% - Accent2 9 5 2" xfId="730" xr:uid="{00000000-0005-0000-0000-0000C7020000}"/>
    <cellStyle name="20% - Accent2 9 6" xfId="731" xr:uid="{00000000-0005-0000-0000-0000C8020000}"/>
    <cellStyle name="20% - Accent3 10" xfId="732" xr:uid="{00000000-0005-0000-0000-0000C9020000}"/>
    <cellStyle name="20% - Accent3 10 2" xfId="733" xr:uid="{00000000-0005-0000-0000-0000CA020000}"/>
    <cellStyle name="20% - Accent3 10 2 2" xfId="734" xr:uid="{00000000-0005-0000-0000-0000CB020000}"/>
    <cellStyle name="20% - Accent3 10 3" xfId="735" xr:uid="{00000000-0005-0000-0000-0000CC020000}"/>
    <cellStyle name="20% - Accent3 10 3 2" xfId="736" xr:uid="{00000000-0005-0000-0000-0000CD020000}"/>
    <cellStyle name="20% - Accent3 10 4" xfId="737" xr:uid="{00000000-0005-0000-0000-0000CE020000}"/>
    <cellStyle name="20% - Accent3 11" xfId="738" xr:uid="{00000000-0005-0000-0000-0000CF020000}"/>
    <cellStyle name="20% - Accent3 11 2" xfId="739" xr:uid="{00000000-0005-0000-0000-0000D0020000}"/>
    <cellStyle name="20% - Accent3 12" xfId="740" xr:uid="{00000000-0005-0000-0000-0000D1020000}"/>
    <cellStyle name="20% - Accent3 12 2" xfId="741" xr:uid="{00000000-0005-0000-0000-0000D2020000}"/>
    <cellStyle name="20% - Accent3 13" xfId="742" xr:uid="{00000000-0005-0000-0000-0000D3020000}"/>
    <cellStyle name="20% - Accent3 13 2" xfId="743" xr:uid="{00000000-0005-0000-0000-0000D4020000}"/>
    <cellStyle name="20% - Accent3 14" xfId="744" xr:uid="{00000000-0005-0000-0000-0000D5020000}"/>
    <cellStyle name="20% - Accent3 14 2" xfId="745" xr:uid="{00000000-0005-0000-0000-0000D6020000}"/>
    <cellStyle name="20% - Accent3 15" xfId="746" xr:uid="{00000000-0005-0000-0000-0000D7020000}"/>
    <cellStyle name="20% - Accent3 15 2" xfId="747" xr:uid="{00000000-0005-0000-0000-0000D8020000}"/>
    <cellStyle name="20% - Accent3 16" xfId="748" xr:uid="{00000000-0005-0000-0000-0000D9020000}"/>
    <cellStyle name="20% - Accent3 16 2" xfId="749" xr:uid="{00000000-0005-0000-0000-0000DA020000}"/>
    <cellStyle name="20% - Accent3 17" xfId="750" xr:uid="{00000000-0005-0000-0000-0000DB020000}"/>
    <cellStyle name="20% - Accent3 17 2" xfId="751" xr:uid="{00000000-0005-0000-0000-0000DC020000}"/>
    <cellStyle name="20% - Accent3 18" xfId="752" xr:uid="{00000000-0005-0000-0000-0000DD020000}"/>
    <cellStyle name="20% - Accent3 18 2" xfId="753" xr:uid="{00000000-0005-0000-0000-0000DE020000}"/>
    <cellStyle name="20% - Accent3 19" xfId="754" xr:uid="{00000000-0005-0000-0000-0000DF020000}"/>
    <cellStyle name="20% - Accent3 19 2" xfId="755" xr:uid="{00000000-0005-0000-0000-0000E0020000}"/>
    <cellStyle name="20% - Accent3 2" xfId="756" xr:uid="{00000000-0005-0000-0000-0000E1020000}"/>
    <cellStyle name="20% - Accent3 2 10" xfId="757" xr:uid="{00000000-0005-0000-0000-0000E2020000}"/>
    <cellStyle name="20% - Accent3 2 10 2" xfId="758" xr:uid="{00000000-0005-0000-0000-0000E3020000}"/>
    <cellStyle name="20% - Accent3 2 11" xfId="759" xr:uid="{00000000-0005-0000-0000-0000E4020000}"/>
    <cellStyle name="20% - Accent3 2 2" xfId="760" xr:uid="{00000000-0005-0000-0000-0000E5020000}"/>
    <cellStyle name="20% - Accent3 2 2 10" xfId="761" xr:uid="{00000000-0005-0000-0000-0000E6020000}"/>
    <cellStyle name="20% - Accent3 2 2 2" xfId="762" xr:uid="{00000000-0005-0000-0000-0000E7020000}"/>
    <cellStyle name="20% - Accent3 2 2 2 2" xfId="763" xr:uid="{00000000-0005-0000-0000-0000E8020000}"/>
    <cellStyle name="20% - Accent3 2 2 2 2 2" xfId="764" xr:uid="{00000000-0005-0000-0000-0000E9020000}"/>
    <cellStyle name="20% - Accent3 2 2 2 3" xfId="765" xr:uid="{00000000-0005-0000-0000-0000EA020000}"/>
    <cellStyle name="20% - Accent3 2 2 2 3 2" xfId="766" xr:uid="{00000000-0005-0000-0000-0000EB020000}"/>
    <cellStyle name="20% - Accent3 2 2 2 4" xfId="767" xr:uid="{00000000-0005-0000-0000-0000EC020000}"/>
    <cellStyle name="20% - Accent3 2 2 2 4 2" xfId="768" xr:uid="{00000000-0005-0000-0000-0000ED020000}"/>
    <cellStyle name="20% - Accent3 2 2 2 5" xfId="769" xr:uid="{00000000-0005-0000-0000-0000EE020000}"/>
    <cellStyle name="20% - Accent3 2 2 2 5 2" xfId="770" xr:uid="{00000000-0005-0000-0000-0000EF020000}"/>
    <cellStyle name="20% - Accent3 2 2 2 6" xfId="771" xr:uid="{00000000-0005-0000-0000-0000F0020000}"/>
    <cellStyle name="20% - Accent3 2 2 3" xfId="772" xr:uid="{00000000-0005-0000-0000-0000F1020000}"/>
    <cellStyle name="20% - Accent3 2 2 3 2" xfId="773" xr:uid="{00000000-0005-0000-0000-0000F2020000}"/>
    <cellStyle name="20% - Accent3 2 2 3 2 2" xfId="774" xr:uid="{00000000-0005-0000-0000-0000F3020000}"/>
    <cellStyle name="20% - Accent3 2 2 3 3" xfId="775" xr:uid="{00000000-0005-0000-0000-0000F4020000}"/>
    <cellStyle name="20% - Accent3 2 2 3 3 2" xfId="776" xr:uid="{00000000-0005-0000-0000-0000F5020000}"/>
    <cellStyle name="20% - Accent3 2 2 3 4" xfId="777" xr:uid="{00000000-0005-0000-0000-0000F6020000}"/>
    <cellStyle name="20% - Accent3 2 2 3 4 2" xfId="778" xr:uid="{00000000-0005-0000-0000-0000F7020000}"/>
    <cellStyle name="20% - Accent3 2 2 3 5" xfId="779" xr:uid="{00000000-0005-0000-0000-0000F8020000}"/>
    <cellStyle name="20% - Accent3 2 2 3 5 2" xfId="780" xr:uid="{00000000-0005-0000-0000-0000F9020000}"/>
    <cellStyle name="20% - Accent3 2 2 3 6" xfId="781" xr:uid="{00000000-0005-0000-0000-0000FA020000}"/>
    <cellStyle name="20% - Accent3 2 2 4" xfId="782" xr:uid="{00000000-0005-0000-0000-0000FB020000}"/>
    <cellStyle name="20% - Accent3 2 2 4 2" xfId="783" xr:uid="{00000000-0005-0000-0000-0000FC020000}"/>
    <cellStyle name="20% - Accent3 2 2 5" xfId="784" xr:uid="{00000000-0005-0000-0000-0000FD020000}"/>
    <cellStyle name="20% - Accent3 2 2 5 2" xfId="785" xr:uid="{00000000-0005-0000-0000-0000FE020000}"/>
    <cellStyle name="20% - Accent3 2 2 6" xfId="786" xr:uid="{00000000-0005-0000-0000-0000FF020000}"/>
    <cellStyle name="20% - Accent3 2 2 6 2" xfId="787" xr:uid="{00000000-0005-0000-0000-000000030000}"/>
    <cellStyle name="20% - Accent3 2 2 7" xfId="788" xr:uid="{00000000-0005-0000-0000-000001030000}"/>
    <cellStyle name="20% - Accent3 2 2 7 2" xfId="789" xr:uid="{00000000-0005-0000-0000-000002030000}"/>
    <cellStyle name="20% - Accent3 2 2 8" xfId="790" xr:uid="{00000000-0005-0000-0000-000003030000}"/>
    <cellStyle name="20% - Accent3 2 2 8 2" xfId="791" xr:uid="{00000000-0005-0000-0000-000004030000}"/>
    <cellStyle name="20% - Accent3 2 2 9" xfId="792" xr:uid="{00000000-0005-0000-0000-000005030000}"/>
    <cellStyle name="20% - Accent3 2 2 9 2" xfId="793" xr:uid="{00000000-0005-0000-0000-000006030000}"/>
    <cellStyle name="20% - Accent3 2 3" xfId="794" xr:uid="{00000000-0005-0000-0000-000007030000}"/>
    <cellStyle name="20% - Accent3 2 3 2" xfId="795" xr:uid="{00000000-0005-0000-0000-000008030000}"/>
    <cellStyle name="20% - Accent3 2 3 2 2" xfId="796" xr:uid="{00000000-0005-0000-0000-000009030000}"/>
    <cellStyle name="20% - Accent3 2 3 3" xfId="797" xr:uid="{00000000-0005-0000-0000-00000A030000}"/>
    <cellStyle name="20% - Accent3 2 3 3 2" xfId="798" xr:uid="{00000000-0005-0000-0000-00000B030000}"/>
    <cellStyle name="20% - Accent3 2 3 4" xfId="799" xr:uid="{00000000-0005-0000-0000-00000C030000}"/>
    <cellStyle name="20% - Accent3 2 3 4 2" xfId="800" xr:uid="{00000000-0005-0000-0000-00000D030000}"/>
    <cellStyle name="20% - Accent3 2 3 5" xfId="801" xr:uid="{00000000-0005-0000-0000-00000E030000}"/>
    <cellStyle name="20% - Accent3 2 3 5 2" xfId="802" xr:uid="{00000000-0005-0000-0000-00000F030000}"/>
    <cellStyle name="20% - Accent3 2 3 6" xfId="803" xr:uid="{00000000-0005-0000-0000-000010030000}"/>
    <cellStyle name="20% - Accent3 2 4" xfId="804" xr:uid="{00000000-0005-0000-0000-000011030000}"/>
    <cellStyle name="20% - Accent3 2 4 2" xfId="805" xr:uid="{00000000-0005-0000-0000-000012030000}"/>
    <cellStyle name="20% - Accent3 2 4 2 2" xfId="806" xr:uid="{00000000-0005-0000-0000-000013030000}"/>
    <cellStyle name="20% - Accent3 2 4 3" xfId="807" xr:uid="{00000000-0005-0000-0000-000014030000}"/>
    <cellStyle name="20% - Accent3 2 4 3 2" xfId="808" xr:uid="{00000000-0005-0000-0000-000015030000}"/>
    <cellStyle name="20% - Accent3 2 4 4" xfId="809" xr:uid="{00000000-0005-0000-0000-000016030000}"/>
    <cellStyle name="20% - Accent3 2 4 4 2" xfId="810" xr:uid="{00000000-0005-0000-0000-000017030000}"/>
    <cellStyle name="20% - Accent3 2 4 5" xfId="811" xr:uid="{00000000-0005-0000-0000-000018030000}"/>
    <cellStyle name="20% - Accent3 2 4 5 2" xfId="812" xr:uid="{00000000-0005-0000-0000-000019030000}"/>
    <cellStyle name="20% - Accent3 2 4 6" xfId="813" xr:uid="{00000000-0005-0000-0000-00001A030000}"/>
    <cellStyle name="20% - Accent3 2 5" xfId="814" xr:uid="{00000000-0005-0000-0000-00001B030000}"/>
    <cellStyle name="20% - Accent3 2 5 2" xfId="815" xr:uid="{00000000-0005-0000-0000-00001C030000}"/>
    <cellStyle name="20% - Accent3 2 6" xfId="816" xr:uid="{00000000-0005-0000-0000-00001D030000}"/>
    <cellStyle name="20% - Accent3 2 6 2" xfId="817" xr:uid="{00000000-0005-0000-0000-00001E030000}"/>
    <cellStyle name="20% - Accent3 2 7" xfId="818" xr:uid="{00000000-0005-0000-0000-00001F030000}"/>
    <cellStyle name="20% - Accent3 2 7 2" xfId="819" xr:uid="{00000000-0005-0000-0000-000020030000}"/>
    <cellStyle name="20% - Accent3 2 8" xfId="820" xr:uid="{00000000-0005-0000-0000-000021030000}"/>
    <cellStyle name="20% - Accent3 2 8 2" xfId="821" xr:uid="{00000000-0005-0000-0000-000022030000}"/>
    <cellStyle name="20% - Accent3 2 9" xfId="822" xr:uid="{00000000-0005-0000-0000-000023030000}"/>
    <cellStyle name="20% - Accent3 2 9 2" xfId="823" xr:uid="{00000000-0005-0000-0000-000024030000}"/>
    <cellStyle name="20% - Accent3 20" xfId="824" xr:uid="{00000000-0005-0000-0000-000025030000}"/>
    <cellStyle name="20% - Accent3 20 2" xfId="825" xr:uid="{00000000-0005-0000-0000-000026030000}"/>
    <cellStyle name="20% - Accent3 3" xfId="826" xr:uid="{00000000-0005-0000-0000-000027030000}"/>
    <cellStyle name="20% - Accent3 3 10" xfId="827" xr:uid="{00000000-0005-0000-0000-000028030000}"/>
    <cellStyle name="20% - Accent3 3 10 2" xfId="828" xr:uid="{00000000-0005-0000-0000-000029030000}"/>
    <cellStyle name="20% - Accent3 3 11" xfId="829" xr:uid="{00000000-0005-0000-0000-00002A030000}"/>
    <cellStyle name="20% - Accent3 3 2" xfId="830" xr:uid="{00000000-0005-0000-0000-00002B030000}"/>
    <cellStyle name="20% - Accent3 3 2 10" xfId="831" xr:uid="{00000000-0005-0000-0000-00002C030000}"/>
    <cellStyle name="20% - Accent3 3 2 2" xfId="832" xr:uid="{00000000-0005-0000-0000-00002D030000}"/>
    <cellStyle name="20% - Accent3 3 2 2 2" xfId="833" xr:uid="{00000000-0005-0000-0000-00002E030000}"/>
    <cellStyle name="20% - Accent3 3 2 2 2 2" xfId="834" xr:uid="{00000000-0005-0000-0000-00002F030000}"/>
    <cellStyle name="20% - Accent3 3 2 2 3" xfId="835" xr:uid="{00000000-0005-0000-0000-000030030000}"/>
    <cellStyle name="20% - Accent3 3 2 2 3 2" xfId="836" xr:uid="{00000000-0005-0000-0000-000031030000}"/>
    <cellStyle name="20% - Accent3 3 2 2 4" xfId="837" xr:uid="{00000000-0005-0000-0000-000032030000}"/>
    <cellStyle name="20% - Accent3 3 2 2 4 2" xfId="838" xr:uid="{00000000-0005-0000-0000-000033030000}"/>
    <cellStyle name="20% - Accent3 3 2 2 5" xfId="839" xr:uid="{00000000-0005-0000-0000-000034030000}"/>
    <cellStyle name="20% - Accent3 3 2 2 5 2" xfId="840" xr:uid="{00000000-0005-0000-0000-000035030000}"/>
    <cellStyle name="20% - Accent3 3 2 2 6" xfId="841" xr:uid="{00000000-0005-0000-0000-000036030000}"/>
    <cellStyle name="20% - Accent3 3 2 3" xfId="842" xr:uid="{00000000-0005-0000-0000-000037030000}"/>
    <cellStyle name="20% - Accent3 3 2 3 2" xfId="843" xr:uid="{00000000-0005-0000-0000-000038030000}"/>
    <cellStyle name="20% - Accent3 3 2 3 2 2" xfId="844" xr:uid="{00000000-0005-0000-0000-000039030000}"/>
    <cellStyle name="20% - Accent3 3 2 3 3" xfId="845" xr:uid="{00000000-0005-0000-0000-00003A030000}"/>
    <cellStyle name="20% - Accent3 3 2 3 3 2" xfId="846" xr:uid="{00000000-0005-0000-0000-00003B030000}"/>
    <cellStyle name="20% - Accent3 3 2 3 4" xfId="847" xr:uid="{00000000-0005-0000-0000-00003C030000}"/>
    <cellStyle name="20% - Accent3 3 2 3 4 2" xfId="848" xr:uid="{00000000-0005-0000-0000-00003D030000}"/>
    <cellStyle name="20% - Accent3 3 2 3 5" xfId="849" xr:uid="{00000000-0005-0000-0000-00003E030000}"/>
    <cellStyle name="20% - Accent3 3 2 3 5 2" xfId="850" xr:uid="{00000000-0005-0000-0000-00003F030000}"/>
    <cellStyle name="20% - Accent3 3 2 3 6" xfId="851" xr:uid="{00000000-0005-0000-0000-000040030000}"/>
    <cellStyle name="20% - Accent3 3 2 4" xfId="852" xr:uid="{00000000-0005-0000-0000-000041030000}"/>
    <cellStyle name="20% - Accent3 3 2 4 2" xfId="853" xr:uid="{00000000-0005-0000-0000-000042030000}"/>
    <cellStyle name="20% - Accent3 3 2 5" xfId="854" xr:uid="{00000000-0005-0000-0000-000043030000}"/>
    <cellStyle name="20% - Accent3 3 2 5 2" xfId="855" xr:uid="{00000000-0005-0000-0000-000044030000}"/>
    <cellStyle name="20% - Accent3 3 2 6" xfId="856" xr:uid="{00000000-0005-0000-0000-000045030000}"/>
    <cellStyle name="20% - Accent3 3 2 6 2" xfId="857" xr:uid="{00000000-0005-0000-0000-000046030000}"/>
    <cellStyle name="20% - Accent3 3 2 7" xfId="858" xr:uid="{00000000-0005-0000-0000-000047030000}"/>
    <cellStyle name="20% - Accent3 3 2 7 2" xfId="859" xr:uid="{00000000-0005-0000-0000-000048030000}"/>
    <cellStyle name="20% - Accent3 3 2 8" xfId="860" xr:uid="{00000000-0005-0000-0000-000049030000}"/>
    <cellStyle name="20% - Accent3 3 2 8 2" xfId="861" xr:uid="{00000000-0005-0000-0000-00004A030000}"/>
    <cellStyle name="20% - Accent3 3 2 9" xfId="862" xr:uid="{00000000-0005-0000-0000-00004B030000}"/>
    <cellStyle name="20% - Accent3 3 2 9 2" xfId="863" xr:uid="{00000000-0005-0000-0000-00004C030000}"/>
    <cellStyle name="20% - Accent3 3 3" xfId="864" xr:uid="{00000000-0005-0000-0000-00004D030000}"/>
    <cellStyle name="20% - Accent3 3 3 2" xfId="865" xr:uid="{00000000-0005-0000-0000-00004E030000}"/>
    <cellStyle name="20% - Accent3 3 3 2 2" xfId="866" xr:uid="{00000000-0005-0000-0000-00004F030000}"/>
    <cellStyle name="20% - Accent3 3 3 3" xfId="867" xr:uid="{00000000-0005-0000-0000-000050030000}"/>
    <cellStyle name="20% - Accent3 3 3 3 2" xfId="868" xr:uid="{00000000-0005-0000-0000-000051030000}"/>
    <cellStyle name="20% - Accent3 3 3 4" xfId="869" xr:uid="{00000000-0005-0000-0000-000052030000}"/>
    <cellStyle name="20% - Accent3 3 3 4 2" xfId="870" xr:uid="{00000000-0005-0000-0000-000053030000}"/>
    <cellStyle name="20% - Accent3 3 3 5" xfId="871" xr:uid="{00000000-0005-0000-0000-000054030000}"/>
    <cellStyle name="20% - Accent3 3 3 5 2" xfId="872" xr:uid="{00000000-0005-0000-0000-000055030000}"/>
    <cellStyle name="20% - Accent3 3 3 6" xfId="873" xr:uid="{00000000-0005-0000-0000-000056030000}"/>
    <cellStyle name="20% - Accent3 3 4" xfId="874" xr:uid="{00000000-0005-0000-0000-000057030000}"/>
    <cellStyle name="20% - Accent3 3 4 2" xfId="875" xr:uid="{00000000-0005-0000-0000-000058030000}"/>
    <cellStyle name="20% - Accent3 3 4 2 2" xfId="876" xr:uid="{00000000-0005-0000-0000-000059030000}"/>
    <cellStyle name="20% - Accent3 3 4 3" xfId="877" xr:uid="{00000000-0005-0000-0000-00005A030000}"/>
    <cellStyle name="20% - Accent3 3 4 3 2" xfId="878" xr:uid="{00000000-0005-0000-0000-00005B030000}"/>
    <cellStyle name="20% - Accent3 3 4 4" xfId="879" xr:uid="{00000000-0005-0000-0000-00005C030000}"/>
    <cellStyle name="20% - Accent3 3 4 4 2" xfId="880" xr:uid="{00000000-0005-0000-0000-00005D030000}"/>
    <cellStyle name="20% - Accent3 3 4 5" xfId="881" xr:uid="{00000000-0005-0000-0000-00005E030000}"/>
    <cellStyle name="20% - Accent3 3 4 5 2" xfId="882" xr:uid="{00000000-0005-0000-0000-00005F030000}"/>
    <cellStyle name="20% - Accent3 3 4 6" xfId="883" xr:uid="{00000000-0005-0000-0000-000060030000}"/>
    <cellStyle name="20% - Accent3 3 5" xfId="884" xr:uid="{00000000-0005-0000-0000-000061030000}"/>
    <cellStyle name="20% - Accent3 3 5 2" xfId="885" xr:uid="{00000000-0005-0000-0000-000062030000}"/>
    <cellStyle name="20% - Accent3 3 6" xfId="886" xr:uid="{00000000-0005-0000-0000-000063030000}"/>
    <cellStyle name="20% - Accent3 3 6 2" xfId="887" xr:uid="{00000000-0005-0000-0000-000064030000}"/>
    <cellStyle name="20% - Accent3 3 7" xfId="888" xr:uid="{00000000-0005-0000-0000-000065030000}"/>
    <cellStyle name="20% - Accent3 3 7 2" xfId="889" xr:uid="{00000000-0005-0000-0000-000066030000}"/>
    <cellStyle name="20% - Accent3 3 8" xfId="890" xr:uid="{00000000-0005-0000-0000-000067030000}"/>
    <cellStyle name="20% - Accent3 3 8 2" xfId="891" xr:uid="{00000000-0005-0000-0000-000068030000}"/>
    <cellStyle name="20% - Accent3 3 9" xfId="892" xr:uid="{00000000-0005-0000-0000-000069030000}"/>
    <cellStyle name="20% - Accent3 3 9 2" xfId="893" xr:uid="{00000000-0005-0000-0000-00006A030000}"/>
    <cellStyle name="20% - Accent3 4" xfId="894" xr:uid="{00000000-0005-0000-0000-00006B030000}"/>
    <cellStyle name="20% - Accent3 4 10" xfId="895" xr:uid="{00000000-0005-0000-0000-00006C030000}"/>
    <cellStyle name="20% - Accent3 4 10 2" xfId="896" xr:uid="{00000000-0005-0000-0000-00006D030000}"/>
    <cellStyle name="20% - Accent3 4 11" xfId="897" xr:uid="{00000000-0005-0000-0000-00006E030000}"/>
    <cellStyle name="20% - Accent3 4 2" xfId="898" xr:uid="{00000000-0005-0000-0000-00006F030000}"/>
    <cellStyle name="20% - Accent3 4 2 10" xfId="899" xr:uid="{00000000-0005-0000-0000-000070030000}"/>
    <cellStyle name="20% - Accent3 4 2 2" xfId="900" xr:uid="{00000000-0005-0000-0000-000071030000}"/>
    <cellStyle name="20% - Accent3 4 2 2 2" xfId="901" xr:uid="{00000000-0005-0000-0000-000072030000}"/>
    <cellStyle name="20% - Accent3 4 2 2 2 2" xfId="902" xr:uid="{00000000-0005-0000-0000-000073030000}"/>
    <cellStyle name="20% - Accent3 4 2 2 3" xfId="903" xr:uid="{00000000-0005-0000-0000-000074030000}"/>
    <cellStyle name="20% - Accent3 4 2 2 3 2" xfId="904" xr:uid="{00000000-0005-0000-0000-000075030000}"/>
    <cellStyle name="20% - Accent3 4 2 2 4" xfId="905" xr:uid="{00000000-0005-0000-0000-000076030000}"/>
    <cellStyle name="20% - Accent3 4 2 2 4 2" xfId="906" xr:uid="{00000000-0005-0000-0000-000077030000}"/>
    <cellStyle name="20% - Accent3 4 2 2 5" xfId="907" xr:uid="{00000000-0005-0000-0000-000078030000}"/>
    <cellStyle name="20% - Accent3 4 2 2 5 2" xfId="908" xr:uid="{00000000-0005-0000-0000-000079030000}"/>
    <cellStyle name="20% - Accent3 4 2 2 6" xfId="909" xr:uid="{00000000-0005-0000-0000-00007A030000}"/>
    <cellStyle name="20% - Accent3 4 2 3" xfId="910" xr:uid="{00000000-0005-0000-0000-00007B030000}"/>
    <cellStyle name="20% - Accent3 4 2 3 2" xfId="911" xr:uid="{00000000-0005-0000-0000-00007C030000}"/>
    <cellStyle name="20% - Accent3 4 2 3 2 2" xfId="912" xr:uid="{00000000-0005-0000-0000-00007D030000}"/>
    <cellStyle name="20% - Accent3 4 2 3 3" xfId="913" xr:uid="{00000000-0005-0000-0000-00007E030000}"/>
    <cellStyle name="20% - Accent3 4 2 3 3 2" xfId="914" xr:uid="{00000000-0005-0000-0000-00007F030000}"/>
    <cellStyle name="20% - Accent3 4 2 3 4" xfId="915" xr:uid="{00000000-0005-0000-0000-000080030000}"/>
    <cellStyle name="20% - Accent3 4 2 3 4 2" xfId="916" xr:uid="{00000000-0005-0000-0000-000081030000}"/>
    <cellStyle name="20% - Accent3 4 2 3 5" xfId="917" xr:uid="{00000000-0005-0000-0000-000082030000}"/>
    <cellStyle name="20% - Accent3 4 2 3 5 2" xfId="918" xr:uid="{00000000-0005-0000-0000-000083030000}"/>
    <cellStyle name="20% - Accent3 4 2 3 6" xfId="919" xr:uid="{00000000-0005-0000-0000-000084030000}"/>
    <cellStyle name="20% - Accent3 4 2 4" xfId="920" xr:uid="{00000000-0005-0000-0000-000085030000}"/>
    <cellStyle name="20% - Accent3 4 2 4 2" xfId="921" xr:uid="{00000000-0005-0000-0000-000086030000}"/>
    <cellStyle name="20% - Accent3 4 2 5" xfId="922" xr:uid="{00000000-0005-0000-0000-000087030000}"/>
    <cellStyle name="20% - Accent3 4 2 5 2" xfId="923" xr:uid="{00000000-0005-0000-0000-000088030000}"/>
    <cellStyle name="20% - Accent3 4 2 6" xfId="924" xr:uid="{00000000-0005-0000-0000-000089030000}"/>
    <cellStyle name="20% - Accent3 4 2 6 2" xfId="925" xr:uid="{00000000-0005-0000-0000-00008A030000}"/>
    <cellStyle name="20% - Accent3 4 2 7" xfId="926" xr:uid="{00000000-0005-0000-0000-00008B030000}"/>
    <cellStyle name="20% - Accent3 4 2 7 2" xfId="927" xr:uid="{00000000-0005-0000-0000-00008C030000}"/>
    <cellStyle name="20% - Accent3 4 2 8" xfId="928" xr:uid="{00000000-0005-0000-0000-00008D030000}"/>
    <cellStyle name="20% - Accent3 4 2 8 2" xfId="929" xr:uid="{00000000-0005-0000-0000-00008E030000}"/>
    <cellStyle name="20% - Accent3 4 2 9" xfId="930" xr:uid="{00000000-0005-0000-0000-00008F030000}"/>
    <cellStyle name="20% - Accent3 4 2 9 2" xfId="931" xr:uid="{00000000-0005-0000-0000-000090030000}"/>
    <cellStyle name="20% - Accent3 4 3" xfId="932" xr:uid="{00000000-0005-0000-0000-000091030000}"/>
    <cellStyle name="20% - Accent3 4 3 2" xfId="933" xr:uid="{00000000-0005-0000-0000-000092030000}"/>
    <cellStyle name="20% - Accent3 4 3 2 2" xfId="934" xr:uid="{00000000-0005-0000-0000-000093030000}"/>
    <cellStyle name="20% - Accent3 4 3 3" xfId="935" xr:uid="{00000000-0005-0000-0000-000094030000}"/>
    <cellStyle name="20% - Accent3 4 3 3 2" xfId="936" xr:uid="{00000000-0005-0000-0000-000095030000}"/>
    <cellStyle name="20% - Accent3 4 3 4" xfId="937" xr:uid="{00000000-0005-0000-0000-000096030000}"/>
    <cellStyle name="20% - Accent3 4 3 4 2" xfId="938" xr:uid="{00000000-0005-0000-0000-000097030000}"/>
    <cellStyle name="20% - Accent3 4 3 5" xfId="939" xr:uid="{00000000-0005-0000-0000-000098030000}"/>
    <cellStyle name="20% - Accent3 4 3 5 2" xfId="940" xr:uid="{00000000-0005-0000-0000-000099030000}"/>
    <cellStyle name="20% - Accent3 4 3 6" xfId="941" xr:uid="{00000000-0005-0000-0000-00009A030000}"/>
    <cellStyle name="20% - Accent3 4 4" xfId="942" xr:uid="{00000000-0005-0000-0000-00009B030000}"/>
    <cellStyle name="20% - Accent3 4 4 2" xfId="943" xr:uid="{00000000-0005-0000-0000-00009C030000}"/>
    <cellStyle name="20% - Accent3 4 4 2 2" xfId="944" xr:uid="{00000000-0005-0000-0000-00009D030000}"/>
    <cellStyle name="20% - Accent3 4 4 3" xfId="945" xr:uid="{00000000-0005-0000-0000-00009E030000}"/>
    <cellStyle name="20% - Accent3 4 4 3 2" xfId="946" xr:uid="{00000000-0005-0000-0000-00009F030000}"/>
    <cellStyle name="20% - Accent3 4 4 4" xfId="947" xr:uid="{00000000-0005-0000-0000-0000A0030000}"/>
    <cellStyle name="20% - Accent3 4 4 4 2" xfId="948" xr:uid="{00000000-0005-0000-0000-0000A1030000}"/>
    <cellStyle name="20% - Accent3 4 4 5" xfId="949" xr:uid="{00000000-0005-0000-0000-0000A2030000}"/>
    <cellStyle name="20% - Accent3 4 4 5 2" xfId="950" xr:uid="{00000000-0005-0000-0000-0000A3030000}"/>
    <cellStyle name="20% - Accent3 4 4 6" xfId="951" xr:uid="{00000000-0005-0000-0000-0000A4030000}"/>
    <cellStyle name="20% - Accent3 4 5" xfId="952" xr:uid="{00000000-0005-0000-0000-0000A5030000}"/>
    <cellStyle name="20% - Accent3 4 5 2" xfId="953" xr:uid="{00000000-0005-0000-0000-0000A6030000}"/>
    <cellStyle name="20% - Accent3 4 6" xfId="954" xr:uid="{00000000-0005-0000-0000-0000A7030000}"/>
    <cellStyle name="20% - Accent3 4 6 2" xfId="955" xr:uid="{00000000-0005-0000-0000-0000A8030000}"/>
    <cellStyle name="20% - Accent3 4 7" xfId="956" xr:uid="{00000000-0005-0000-0000-0000A9030000}"/>
    <cellStyle name="20% - Accent3 4 7 2" xfId="957" xr:uid="{00000000-0005-0000-0000-0000AA030000}"/>
    <cellStyle name="20% - Accent3 4 8" xfId="958" xr:uid="{00000000-0005-0000-0000-0000AB030000}"/>
    <cellStyle name="20% - Accent3 4 8 2" xfId="959" xr:uid="{00000000-0005-0000-0000-0000AC030000}"/>
    <cellStyle name="20% - Accent3 4 9" xfId="960" xr:uid="{00000000-0005-0000-0000-0000AD030000}"/>
    <cellStyle name="20% - Accent3 4 9 2" xfId="961" xr:uid="{00000000-0005-0000-0000-0000AE030000}"/>
    <cellStyle name="20% - Accent3 5" xfId="962" xr:uid="{00000000-0005-0000-0000-0000AF030000}"/>
    <cellStyle name="20% - Accent3 5 10" xfId="963" xr:uid="{00000000-0005-0000-0000-0000B0030000}"/>
    <cellStyle name="20% - Accent3 5 2" xfId="964" xr:uid="{00000000-0005-0000-0000-0000B1030000}"/>
    <cellStyle name="20% - Accent3 5 2 2" xfId="965" xr:uid="{00000000-0005-0000-0000-0000B2030000}"/>
    <cellStyle name="20% - Accent3 5 2 2 2" xfId="966" xr:uid="{00000000-0005-0000-0000-0000B3030000}"/>
    <cellStyle name="20% - Accent3 5 2 3" xfId="967" xr:uid="{00000000-0005-0000-0000-0000B4030000}"/>
    <cellStyle name="20% - Accent3 5 2 3 2" xfId="968" xr:uid="{00000000-0005-0000-0000-0000B5030000}"/>
    <cellStyle name="20% - Accent3 5 2 4" xfId="969" xr:uid="{00000000-0005-0000-0000-0000B6030000}"/>
    <cellStyle name="20% - Accent3 5 2 4 2" xfId="970" xr:uid="{00000000-0005-0000-0000-0000B7030000}"/>
    <cellStyle name="20% - Accent3 5 2 5" xfId="971" xr:uid="{00000000-0005-0000-0000-0000B8030000}"/>
    <cellStyle name="20% - Accent3 5 2 5 2" xfId="972" xr:uid="{00000000-0005-0000-0000-0000B9030000}"/>
    <cellStyle name="20% - Accent3 5 2 6" xfId="973" xr:uid="{00000000-0005-0000-0000-0000BA030000}"/>
    <cellStyle name="20% - Accent3 5 3" xfId="974" xr:uid="{00000000-0005-0000-0000-0000BB030000}"/>
    <cellStyle name="20% - Accent3 5 3 2" xfId="975" xr:uid="{00000000-0005-0000-0000-0000BC030000}"/>
    <cellStyle name="20% - Accent3 5 3 2 2" xfId="976" xr:uid="{00000000-0005-0000-0000-0000BD030000}"/>
    <cellStyle name="20% - Accent3 5 3 3" xfId="977" xr:uid="{00000000-0005-0000-0000-0000BE030000}"/>
    <cellStyle name="20% - Accent3 5 3 3 2" xfId="978" xr:uid="{00000000-0005-0000-0000-0000BF030000}"/>
    <cellStyle name="20% - Accent3 5 3 4" xfId="979" xr:uid="{00000000-0005-0000-0000-0000C0030000}"/>
    <cellStyle name="20% - Accent3 5 3 4 2" xfId="980" xr:uid="{00000000-0005-0000-0000-0000C1030000}"/>
    <cellStyle name="20% - Accent3 5 3 5" xfId="981" xr:uid="{00000000-0005-0000-0000-0000C2030000}"/>
    <cellStyle name="20% - Accent3 5 3 5 2" xfId="982" xr:uid="{00000000-0005-0000-0000-0000C3030000}"/>
    <cellStyle name="20% - Accent3 5 3 6" xfId="983" xr:uid="{00000000-0005-0000-0000-0000C4030000}"/>
    <cellStyle name="20% - Accent3 5 4" xfId="984" xr:uid="{00000000-0005-0000-0000-0000C5030000}"/>
    <cellStyle name="20% - Accent3 5 4 2" xfId="985" xr:uid="{00000000-0005-0000-0000-0000C6030000}"/>
    <cellStyle name="20% - Accent3 5 5" xfId="986" xr:uid="{00000000-0005-0000-0000-0000C7030000}"/>
    <cellStyle name="20% - Accent3 5 5 2" xfId="987" xr:uid="{00000000-0005-0000-0000-0000C8030000}"/>
    <cellStyle name="20% - Accent3 5 6" xfId="988" xr:uid="{00000000-0005-0000-0000-0000C9030000}"/>
    <cellStyle name="20% - Accent3 5 6 2" xfId="989" xr:uid="{00000000-0005-0000-0000-0000CA030000}"/>
    <cellStyle name="20% - Accent3 5 7" xfId="990" xr:uid="{00000000-0005-0000-0000-0000CB030000}"/>
    <cellStyle name="20% - Accent3 5 7 2" xfId="991" xr:uid="{00000000-0005-0000-0000-0000CC030000}"/>
    <cellStyle name="20% - Accent3 5 8" xfId="992" xr:uid="{00000000-0005-0000-0000-0000CD030000}"/>
    <cellStyle name="20% - Accent3 5 8 2" xfId="993" xr:uid="{00000000-0005-0000-0000-0000CE030000}"/>
    <cellStyle name="20% - Accent3 5 9" xfId="994" xr:uid="{00000000-0005-0000-0000-0000CF030000}"/>
    <cellStyle name="20% - Accent3 5 9 2" xfId="995" xr:uid="{00000000-0005-0000-0000-0000D0030000}"/>
    <cellStyle name="20% - Accent3 6" xfId="996" xr:uid="{00000000-0005-0000-0000-0000D1030000}"/>
    <cellStyle name="20% - Accent3 6 10" xfId="997" xr:uid="{00000000-0005-0000-0000-0000D2030000}"/>
    <cellStyle name="20% - Accent3 6 2" xfId="998" xr:uid="{00000000-0005-0000-0000-0000D3030000}"/>
    <cellStyle name="20% - Accent3 6 2 2" xfId="999" xr:uid="{00000000-0005-0000-0000-0000D4030000}"/>
    <cellStyle name="20% - Accent3 6 2 2 2" xfId="1000" xr:uid="{00000000-0005-0000-0000-0000D5030000}"/>
    <cellStyle name="20% - Accent3 6 2 3" xfId="1001" xr:uid="{00000000-0005-0000-0000-0000D6030000}"/>
    <cellStyle name="20% - Accent3 6 2 3 2" xfId="1002" xr:uid="{00000000-0005-0000-0000-0000D7030000}"/>
    <cellStyle name="20% - Accent3 6 2 4" xfId="1003" xr:uid="{00000000-0005-0000-0000-0000D8030000}"/>
    <cellStyle name="20% - Accent3 6 2 4 2" xfId="1004" xr:uid="{00000000-0005-0000-0000-0000D9030000}"/>
    <cellStyle name="20% - Accent3 6 2 5" xfId="1005" xr:uid="{00000000-0005-0000-0000-0000DA030000}"/>
    <cellStyle name="20% - Accent3 6 2 5 2" xfId="1006" xr:uid="{00000000-0005-0000-0000-0000DB030000}"/>
    <cellStyle name="20% - Accent3 6 2 6" xfId="1007" xr:uid="{00000000-0005-0000-0000-0000DC030000}"/>
    <cellStyle name="20% - Accent3 6 3" xfId="1008" xr:uid="{00000000-0005-0000-0000-0000DD030000}"/>
    <cellStyle name="20% - Accent3 6 3 2" xfId="1009" xr:uid="{00000000-0005-0000-0000-0000DE030000}"/>
    <cellStyle name="20% - Accent3 6 3 2 2" xfId="1010" xr:uid="{00000000-0005-0000-0000-0000DF030000}"/>
    <cellStyle name="20% - Accent3 6 3 3" xfId="1011" xr:uid="{00000000-0005-0000-0000-0000E0030000}"/>
    <cellStyle name="20% - Accent3 6 3 3 2" xfId="1012" xr:uid="{00000000-0005-0000-0000-0000E1030000}"/>
    <cellStyle name="20% - Accent3 6 3 4" xfId="1013" xr:uid="{00000000-0005-0000-0000-0000E2030000}"/>
    <cellStyle name="20% - Accent3 6 3 4 2" xfId="1014" xr:uid="{00000000-0005-0000-0000-0000E3030000}"/>
    <cellStyle name="20% - Accent3 6 3 5" xfId="1015" xr:uid="{00000000-0005-0000-0000-0000E4030000}"/>
    <cellStyle name="20% - Accent3 6 3 5 2" xfId="1016" xr:uid="{00000000-0005-0000-0000-0000E5030000}"/>
    <cellStyle name="20% - Accent3 6 3 6" xfId="1017" xr:uid="{00000000-0005-0000-0000-0000E6030000}"/>
    <cellStyle name="20% - Accent3 6 4" xfId="1018" xr:uid="{00000000-0005-0000-0000-0000E7030000}"/>
    <cellStyle name="20% - Accent3 6 4 2" xfId="1019" xr:uid="{00000000-0005-0000-0000-0000E8030000}"/>
    <cellStyle name="20% - Accent3 6 5" xfId="1020" xr:uid="{00000000-0005-0000-0000-0000E9030000}"/>
    <cellStyle name="20% - Accent3 6 5 2" xfId="1021" xr:uid="{00000000-0005-0000-0000-0000EA030000}"/>
    <cellStyle name="20% - Accent3 6 6" xfId="1022" xr:uid="{00000000-0005-0000-0000-0000EB030000}"/>
    <cellStyle name="20% - Accent3 6 6 2" xfId="1023" xr:uid="{00000000-0005-0000-0000-0000EC030000}"/>
    <cellStyle name="20% - Accent3 6 7" xfId="1024" xr:uid="{00000000-0005-0000-0000-0000ED030000}"/>
    <cellStyle name="20% - Accent3 6 7 2" xfId="1025" xr:uid="{00000000-0005-0000-0000-0000EE030000}"/>
    <cellStyle name="20% - Accent3 6 8" xfId="1026" xr:uid="{00000000-0005-0000-0000-0000EF030000}"/>
    <cellStyle name="20% - Accent3 6 8 2" xfId="1027" xr:uid="{00000000-0005-0000-0000-0000F0030000}"/>
    <cellStyle name="20% - Accent3 6 9" xfId="1028" xr:uid="{00000000-0005-0000-0000-0000F1030000}"/>
    <cellStyle name="20% - Accent3 6 9 2" xfId="1029" xr:uid="{00000000-0005-0000-0000-0000F2030000}"/>
    <cellStyle name="20% - Accent3 7" xfId="1030" xr:uid="{00000000-0005-0000-0000-0000F3030000}"/>
    <cellStyle name="20% - Accent3 7 10" xfId="1031" xr:uid="{00000000-0005-0000-0000-0000F4030000}"/>
    <cellStyle name="20% - Accent3 7 2" xfId="1032" xr:uid="{00000000-0005-0000-0000-0000F5030000}"/>
    <cellStyle name="20% - Accent3 7 2 2" xfId="1033" xr:uid="{00000000-0005-0000-0000-0000F6030000}"/>
    <cellStyle name="20% - Accent3 7 2 2 2" xfId="1034" xr:uid="{00000000-0005-0000-0000-0000F7030000}"/>
    <cellStyle name="20% - Accent3 7 2 3" xfId="1035" xr:uid="{00000000-0005-0000-0000-0000F8030000}"/>
    <cellStyle name="20% - Accent3 7 2 3 2" xfId="1036" xr:uid="{00000000-0005-0000-0000-0000F9030000}"/>
    <cellStyle name="20% - Accent3 7 2 4" xfId="1037" xr:uid="{00000000-0005-0000-0000-0000FA030000}"/>
    <cellStyle name="20% - Accent3 7 2 4 2" xfId="1038" xr:uid="{00000000-0005-0000-0000-0000FB030000}"/>
    <cellStyle name="20% - Accent3 7 2 5" xfId="1039" xr:uid="{00000000-0005-0000-0000-0000FC030000}"/>
    <cellStyle name="20% - Accent3 7 2 5 2" xfId="1040" xr:uid="{00000000-0005-0000-0000-0000FD030000}"/>
    <cellStyle name="20% - Accent3 7 2 6" xfId="1041" xr:uid="{00000000-0005-0000-0000-0000FE030000}"/>
    <cellStyle name="20% - Accent3 7 3" xfId="1042" xr:uid="{00000000-0005-0000-0000-0000FF030000}"/>
    <cellStyle name="20% - Accent3 7 3 2" xfId="1043" xr:uid="{00000000-0005-0000-0000-000000040000}"/>
    <cellStyle name="20% - Accent3 7 3 2 2" xfId="1044" xr:uid="{00000000-0005-0000-0000-000001040000}"/>
    <cellStyle name="20% - Accent3 7 3 3" xfId="1045" xr:uid="{00000000-0005-0000-0000-000002040000}"/>
    <cellStyle name="20% - Accent3 7 3 3 2" xfId="1046" xr:uid="{00000000-0005-0000-0000-000003040000}"/>
    <cellStyle name="20% - Accent3 7 3 4" xfId="1047" xr:uid="{00000000-0005-0000-0000-000004040000}"/>
    <cellStyle name="20% - Accent3 7 3 4 2" xfId="1048" xr:uid="{00000000-0005-0000-0000-000005040000}"/>
    <cellStyle name="20% - Accent3 7 3 5" xfId="1049" xr:uid="{00000000-0005-0000-0000-000006040000}"/>
    <cellStyle name="20% - Accent3 7 3 5 2" xfId="1050" xr:uid="{00000000-0005-0000-0000-000007040000}"/>
    <cellStyle name="20% - Accent3 7 3 6" xfId="1051" xr:uid="{00000000-0005-0000-0000-000008040000}"/>
    <cellStyle name="20% - Accent3 7 4" xfId="1052" xr:uid="{00000000-0005-0000-0000-000009040000}"/>
    <cellStyle name="20% - Accent3 7 4 2" xfId="1053" xr:uid="{00000000-0005-0000-0000-00000A040000}"/>
    <cellStyle name="20% - Accent3 7 5" xfId="1054" xr:uid="{00000000-0005-0000-0000-00000B040000}"/>
    <cellStyle name="20% - Accent3 7 5 2" xfId="1055" xr:uid="{00000000-0005-0000-0000-00000C040000}"/>
    <cellStyle name="20% - Accent3 7 6" xfId="1056" xr:uid="{00000000-0005-0000-0000-00000D040000}"/>
    <cellStyle name="20% - Accent3 7 6 2" xfId="1057" xr:uid="{00000000-0005-0000-0000-00000E040000}"/>
    <cellStyle name="20% - Accent3 7 7" xfId="1058" xr:uid="{00000000-0005-0000-0000-00000F040000}"/>
    <cellStyle name="20% - Accent3 7 7 2" xfId="1059" xr:uid="{00000000-0005-0000-0000-000010040000}"/>
    <cellStyle name="20% - Accent3 7 8" xfId="1060" xr:uid="{00000000-0005-0000-0000-000011040000}"/>
    <cellStyle name="20% - Accent3 7 8 2" xfId="1061" xr:uid="{00000000-0005-0000-0000-000012040000}"/>
    <cellStyle name="20% - Accent3 7 9" xfId="1062" xr:uid="{00000000-0005-0000-0000-000013040000}"/>
    <cellStyle name="20% - Accent3 7 9 2" xfId="1063" xr:uid="{00000000-0005-0000-0000-000014040000}"/>
    <cellStyle name="20% - Accent3 8" xfId="1064" xr:uid="{00000000-0005-0000-0000-000015040000}"/>
    <cellStyle name="20% - Accent3 8 2" xfId="1065" xr:uid="{00000000-0005-0000-0000-000016040000}"/>
    <cellStyle name="20% - Accent3 8 2 2" xfId="1066" xr:uid="{00000000-0005-0000-0000-000017040000}"/>
    <cellStyle name="20% - Accent3 8 3" xfId="1067" xr:uid="{00000000-0005-0000-0000-000018040000}"/>
    <cellStyle name="20% - Accent3 8 3 2" xfId="1068" xr:uid="{00000000-0005-0000-0000-000019040000}"/>
    <cellStyle name="20% - Accent3 8 4" xfId="1069" xr:uid="{00000000-0005-0000-0000-00001A040000}"/>
    <cellStyle name="20% - Accent3 8 4 2" xfId="1070" xr:uid="{00000000-0005-0000-0000-00001B040000}"/>
    <cellStyle name="20% - Accent3 8 5" xfId="1071" xr:uid="{00000000-0005-0000-0000-00001C040000}"/>
    <cellStyle name="20% - Accent3 8 5 2" xfId="1072" xr:uid="{00000000-0005-0000-0000-00001D040000}"/>
    <cellStyle name="20% - Accent3 8 6" xfId="1073" xr:uid="{00000000-0005-0000-0000-00001E040000}"/>
    <cellStyle name="20% - Accent3 9" xfId="1074" xr:uid="{00000000-0005-0000-0000-00001F040000}"/>
    <cellStyle name="20% - Accent3 9 2" xfId="1075" xr:uid="{00000000-0005-0000-0000-000020040000}"/>
    <cellStyle name="20% - Accent3 9 2 2" xfId="1076" xr:uid="{00000000-0005-0000-0000-000021040000}"/>
    <cellStyle name="20% - Accent3 9 3" xfId="1077" xr:uid="{00000000-0005-0000-0000-000022040000}"/>
    <cellStyle name="20% - Accent3 9 3 2" xfId="1078" xr:uid="{00000000-0005-0000-0000-000023040000}"/>
    <cellStyle name="20% - Accent3 9 4" xfId="1079" xr:uid="{00000000-0005-0000-0000-000024040000}"/>
    <cellStyle name="20% - Accent3 9 4 2" xfId="1080" xr:uid="{00000000-0005-0000-0000-000025040000}"/>
    <cellStyle name="20% - Accent3 9 5" xfId="1081" xr:uid="{00000000-0005-0000-0000-000026040000}"/>
    <cellStyle name="20% - Accent3 9 5 2" xfId="1082" xr:uid="{00000000-0005-0000-0000-000027040000}"/>
    <cellStyle name="20% - Accent3 9 6" xfId="1083" xr:uid="{00000000-0005-0000-0000-000028040000}"/>
    <cellStyle name="20% - Accent4 10" xfId="1084" xr:uid="{00000000-0005-0000-0000-000029040000}"/>
    <cellStyle name="20% - Accent4 10 2" xfId="1085" xr:uid="{00000000-0005-0000-0000-00002A040000}"/>
    <cellStyle name="20% - Accent4 10 2 2" xfId="1086" xr:uid="{00000000-0005-0000-0000-00002B040000}"/>
    <cellStyle name="20% - Accent4 10 3" xfId="1087" xr:uid="{00000000-0005-0000-0000-00002C040000}"/>
    <cellStyle name="20% - Accent4 10 3 2" xfId="1088" xr:uid="{00000000-0005-0000-0000-00002D040000}"/>
    <cellStyle name="20% - Accent4 10 4" xfId="1089" xr:uid="{00000000-0005-0000-0000-00002E040000}"/>
    <cellStyle name="20% - Accent4 11" xfId="1090" xr:uid="{00000000-0005-0000-0000-00002F040000}"/>
    <cellStyle name="20% - Accent4 11 2" xfId="1091" xr:uid="{00000000-0005-0000-0000-000030040000}"/>
    <cellStyle name="20% - Accent4 12" xfId="1092" xr:uid="{00000000-0005-0000-0000-000031040000}"/>
    <cellStyle name="20% - Accent4 12 2" xfId="1093" xr:uid="{00000000-0005-0000-0000-000032040000}"/>
    <cellStyle name="20% - Accent4 13" xfId="1094" xr:uid="{00000000-0005-0000-0000-000033040000}"/>
    <cellStyle name="20% - Accent4 13 2" xfId="1095" xr:uid="{00000000-0005-0000-0000-000034040000}"/>
    <cellStyle name="20% - Accent4 14" xfId="1096" xr:uid="{00000000-0005-0000-0000-000035040000}"/>
    <cellStyle name="20% - Accent4 14 2" xfId="1097" xr:uid="{00000000-0005-0000-0000-000036040000}"/>
    <cellStyle name="20% - Accent4 15" xfId="1098" xr:uid="{00000000-0005-0000-0000-000037040000}"/>
    <cellStyle name="20% - Accent4 15 2" xfId="1099" xr:uid="{00000000-0005-0000-0000-000038040000}"/>
    <cellStyle name="20% - Accent4 16" xfId="1100" xr:uid="{00000000-0005-0000-0000-000039040000}"/>
    <cellStyle name="20% - Accent4 16 2" xfId="1101" xr:uid="{00000000-0005-0000-0000-00003A040000}"/>
    <cellStyle name="20% - Accent4 17" xfId="1102" xr:uid="{00000000-0005-0000-0000-00003B040000}"/>
    <cellStyle name="20% - Accent4 17 2" xfId="1103" xr:uid="{00000000-0005-0000-0000-00003C040000}"/>
    <cellStyle name="20% - Accent4 18" xfId="1104" xr:uid="{00000000-0005-0000-0000-00003D040000}"/>
    <cellStyle name="20% - Accent4 18 2" xfId="1105" xr:uid="{00000000-0005-0000-0000-00003E040000}"/>
    <cellStyle name="20% - Accent4 19" xfId="1106" xr:uid="{00000000-0005-0000-0000-00003F040000}"/>
    <cellStyle name="20% - Accent4 19 2" xfId="1107" xr:uid="{00000000-0005-0000-0000-000040040000}"/>
    <cellStyle name="20% - Accent4 2" xfId="1108" xr:uid="{00000000-0005-0000-0000-000041040000}"/>
    <cellStyle name="20% - Accent4 2 10" xfId="1109" xr:uid="{00000000-0005-0000-0000-000042040000}"/>
    <cellStyle name="20% - Accent4 2 10 2" xfId="1110" xr:uid="{00000000-0005-0000-0000-000043040000}"/>
    <cellStyle name="20% - Accent4 2 11" xfId="1111" xr:uid="{00000000-0005-0000-0000-000044040000}"/>
    <cellStyle name="20% - Accent4 2 2" xfId="1112" xr:uid="{00000000-0005-0000-0000-000045040000}"/>
    <cellStyle name="20% - Accent4 2 2 10" xfId="1113" xr:uid="{00000000-0005-0000-0000-000046040000}"/>
    <cellStyle name="20% - Accent4 2 2 2" xfId="1114" xr:uid="{00000000-0005-0000-0000-000047040000}"/>
    <cellStyle name="20% - Accent4 2 2 2 2" xfId="1115" xr:uid="{00000000-0005-0000-0000-000048040000}"/>
    <cellStyle name="20% - Accent4 2 2 2 2 2" xfId="1116" xr:uid="{00000000-0005-0000-0000-000049040000}"/>
    <cellStyle name="20% - Accent4 2 2 2 3" xfId="1117" xr:uid="{00000000-0005-0000-0000-00004A040000}"/>
    <cellStyle name="20% - Accent4 2 2 2 3 2" xfId="1118" xr:uid="{00000000-0005-0000-0000-00004B040000}"/>
    <cellStyle name="20% - Accent4 2 2 2 4" xfId="1119" xr:uid="{00000000-0005-0000-0000-00004C040000}"/>
    <cellStyle name="20% - Accent4 2 2 2 4 2" xfId="1120" xr:uid="{00000000-0005-0000-0000-00004D040000}"/>
    <cellStyle name="20% - Accent4 2 2 2 5" xfId="1121" xr:uid="{00000000-0005-0000-0000-00004E040000}"/>
    <cellStyle name="20% - Accent4 2 2 2 5 2" xfId="1122" xr:uid="{00000000-0005-0000-0000-00004F040000}"/>
    <cellStyle name="20% - Accent4 2 2 2 6" xfId="1123" xr:uid="{00000000-0005-0000-0000-000050040000}"/>
    <cellStyle name="20% - Accent4 2 2 3" xfId="1124" xr:uid="{00000000-0005-0000-0000-000051040000}"/>
    <cellStyle name="20% - Accent4 2 2 3 2" xfId="1125" xr:uid="{00000000-0005-0000-0000-000052040000}"/>
    <cellStyle name="20% - Accent4 2 2 3 2 2" xfId="1126" xr:uid="{00000000-0005-0000-0000-000053040000}"/>
    <cellStyle name="20% - Accent4 2 2 3 3" xfId="1127" xr:uid="{00000000-0005-0000-0000-000054040000}"/>
    <cellStyle name="20% - Accent4 2 2 3 3 2" xfId="1128" xr:uid="{00000000-0005-0000-0000-000055040000}"/>
    <cellStyle name="20% - Accent4 2 2 3 4" xfId="1129" xr:uid="{00000000-0005-0000-0000-000056040000}"/>
    <cellStyle name="20% - Accent4 2 2 3 4 2" xfId="1130" xr:uid="{00000000-0005-0000-0000-000057040000}"/>
    <cellStyle name="20% - Accent4 2 2 3 5" xfId="1131" xr:uid="{00000000-0005-0000-0000-000058040000}"/>
    <cellStyle name="20% - Accent4 2 2 3 5 2" xfId="1132" xr:uid="{00000000-0005-0000-0000-000059040000}"/>
    <cellStyle name="20% - Accent4 2 2 3 6" xfId="1133" xr:uid="{00000000-0005-0000-0000-00005A040000}"/>
    <cellStyle name="20% - Accent4 2 2 4" xfId="1134" xr:uid="{00000000-0005-0000-0000-00005B040000}"/>
    <cellStyle name="20% - Accent4 2 2 4 2" xfId="1135" xr:uid="{00000000-0005-0000-0000-00005C040000}"/>
    <cellStyle name="20% - Accent4 2 2 5" xfId="1136" xr:uid="{00000000-0005-0000-0000-00005D040000}"/>
    <cellStyle name="20% - Accent4 2 2 5 2" xfId="1137" xr:uid="{00000000-0005-0000-0000-00005E040000}"/>
    <cellStyle name="20% - Accent4 2 2 6" xfId="1138" xr:uid="{00000000-0005-0000-0000-00005F040000}"/>
    <cellStyle name="20% - Accent4 2 2 6 2" xfId="1139" xr:uid="{00000000-0005-0000-0000-000060040000}"/>
    <cellStyle name="20% - Accent4 2 2 7" xfId="1140" xr:uid="{00000000-0005-0000-0000-000061040000}"/>
    <cellStyle name="20% - Accent4 2 2 7 2" xfId="1141" xr:uid="{00000000-0005-0000-0000-000062040000}"/>
    <cellStyle name="20% - Accent4 2 2 8" xfId="1142" xr:uid="{00000000-0005-0000-0000-000063040000}"/>
    <cellStyle name="20% - Accent4 2 2 8 2" xfId="1143" xr:uid="{00000000-0005-0000-0000-000064040000}"/>
    <cellStyle name="20% - Accent4 2 2 9" xfId="1144" xr:uid="{00000000-0005-0000-0000-000065040000}"/>
    <cellStyle name="20% - Accent4 2 2 9 2" xfId="1145" xr:uid="{00000000-0005-0000-0000-000066040000}"/>
    <cellStyle name="20% - Accent4 2 3" xfId="1146" xr:uid="{00000000-0005-0000-0000-000067040000}"/>
    <cellStyle name="20% - Accent4 2 3 2" xfId="1147" xr:uid="{00000000-0005-0000-0000-000068040000}"/>
    <cellStyle name="20% - Accent4 2 3 2 2" xfId="1148" xr:uid="{00000000-0005-0000-0000-000069040000}"/>
    <cellStyle name="20% - Accent4 2 3 3" xfId="1149" xr:uid="{00000000-0005-0000-0000-00006A040000}"/>
    <cellStyle name="20% - Accent4 2 3 3 2" xfId="1150" xr:uid="{00000000-0005-0000-0000-00006B040000}"/>
    <cellStyle name="20% - Accent4 2 3 4" xfId="1151" xr:uid="{00000000-0005-0000-0000-00006C040000}"/>
    <cellStyle name="20% - Accent4 2 3 4 2" xfId="1152" xr:uid="{00000000-0005-0000-0000-00006D040000}"/>
    <cellStyle name="20% - Accent4 2 3 5" xfId="1153" xr:uid="{00000000-0005-0000-0000-00006E040000}"/>
    <cellStyle name="20% - Accent4 2 3 5 2" xfId="1154" xr:uid="{00000000-0005-0000-0000-00006F040000}"/>
    <cellStyle name="20% - Accent4 2 3 6" xfId="1155" xr:uid="{00000000-0005-0000-0000-000070040000}"/>
    <cellStyle name="20% - Accent4 2 4" xfId="1156" xr:uid="{00000000-0005-0000-0000-000071040000}"/>
    <cellStyle name="20% - Accent4 2 4 2" xfId="1157" xr:uid="{00000000-0005-0000-0000-000072040000}"/>
    <cellStyle name="20% - Accent4 2 4 2 2" xfId="1158" xr:uid="{00000000-0005-0000-0000-000073040000}"/>
    <cellStyle name="20% - Accent4 2 4 3" xfId="1159" xr:uid="{00000000-0005-0000-0000-000074040000}"/>
    <cellStyle name="20% - Accent4 2 4 3 2" xfId="1160" xr:uid="{00000000-0005-0000-0000-000075040000}"/>
    <cellStyle name="20% - Accent4 2 4 4" xfId="1161" xr:uid="{00000000-0005-0000-0000-000076040000}"/>
    <cellStyle name="20% - Accent4 2 4 4 2" xfId="1162" xr:uid="{00000000-0005-0000-0000-000077040000}"/>
    <cellStyle name="20% - Accent4 2 4 5" xfId="1163" xr:uid="{00000000-0005-0000-0000-000078040000}"/>
    <cellStyle name="20% - Accent4 2 4 5 2" xfId="1164" xr:uid="{00000000-0005-0000-0000-000079040000}"/>
    <cellStyle name="20% - Accent4 2 4 6" xfId="1165" xr:uid="{00000000-0005-0000-0000-00007A040000}"/>
    <cellStyle name="20% - Accent4 2 5" xfId="1166" xr:uid="{00000000-0005-0000-0000-00007B040000}"/>
    <cellStyle name="20% - Accent4 2 5 2" xfId="1167" xr:uid="{00000000-0005-0000-0000-00007C040000}"/>
    <cellStyle name="20% - Accent4 2 6" xfId="1168" xr:uid="{00000000-0005-0000-0000-00007D040000}"/>
    <cellStyle name="20% - Accent4 2 6 2" xfId="1169" xr:uid="{00000000-0005-0000-0000-00007E040000}"/>
    <cellStyle name="20% - Accent4 2 7" xfId="1170" xr:uid="{00000000-0005-0000-0000-00007F040000}"/>
    <cellStyle name="20% - Accent4 2 7 2" xfId="1171" xr:uid="{00000000-0005-0000-0000-000080040000}"/>
    <cellStyle name="20% - Accent4 2 8" xfId="1172" xr:uid="{00000000-0005-0000-0000-000081040000}"/>
    <cellStyle name="20% - Accent4 2 8 2" xfId="1173" xr:uid="{00000000-0005-0000-0000-000082040000}"/>
    <cellStyle name="20% - Accent4 2 9" xfId="1174" xr:uid="{00000000-0005-0000-0000-000083040000}"/>
    <cellStyle name="20% - Accent4 2 9 2" xfId="1175" xr:uid="{00000000-0005-0000-0000-000084040000}"/>
    <cellStyle name="20% - Accent4 20" xfId="1176" xr:uid="{00000000-0005-0000-0000-000085040000}"/>
    <cellStyle name="20% - Accent4 20 2" xfId="1177" xr:uid="{00000000-0005-0000-0000-000086040000}"/>
    <cellStyle name="20% - Accent4 3" xfId="1178" xr:uid="{00000000-0005-0000-0000-000087040000}"/>
    <cellStyle name="20% - Accent4 3 10" xfId="1179" xr:uid="{00000000-0005-0000-0000-000088040000}"/>
    <cellStyle name="20% - Accent4 3 10 2" xfId="1180" xr:uid="{00000000-0005-0000-0000-000089040000}"/>
    <cellStyle name="20% - Accent4 3 11" xfId="1181" xr:uid="{00000000-0005-0000-0000-00008A040000}"/>
    <cellStyle name="20% - Accent4 3 2" xfId="1182" xr:uid="{00000000-0005-0000-0000-00008B040000}"/>
    <cellStyle name="20% - Accent4 3 2 10" xfId="1183" xr:uid="{00000000-0005-0000-0000-00008C040000}"/>
    <cellStyle name="20% - Accent4 3 2 2" xfId="1184" xr:uid="{00000000-0005-0000-0000-00008D040000}"/>
    <cellStyle name="20% - Accent4 3 2 2 2" xfId="1185" xr:uid="{00000000-0005-0000-0000-00008E040000}"/>
    <cellStyle name="20% - Accent4 3 2 2 2 2" xfId="1186" xr:uid="{00000000-0005-0000-0000-00008F040000}"/>
    <cellStyle name="20% - Accent4 3 2 2 3" xfId="1187" xr:uid="{00000000-0005-0000-0000-000090040000}"/>
    <cellStyle name="20% - Accent4 3 2 2 3 2" xfId="1188" xr:uid="{00000000-0005-0000-0000-000091040000}"/>
    <cellStyle name="20% - Accent4 3 2 2 4" xfId="1189" xr:uid="{00000000-0005-0000-0000-000092040000}"/>
    <cellStyle name="20% - Accent4 3 2 2 4 2" xfId="1190" xr:uid="{00000000-0005-0000-0000-000093040000}"/>
    <cellStyle name="20% - Accent4 3 2 2 5" xfId="1191" xr:uid="{00000000-0005-0000-0000-000094040000}"/>
    <cellStyle name="20% - Accent4 3 2 2 5 2" xfId="1192" xr:uid="{00000000-0005-0000-0000-000095040000}"/>
    <cellStyle name="20% - Accent4 3 2 2 6" xfId="1193" xr:uid="{00000000-0005-0000-0000-000096040000}"/>
    <cellStyle name="20% - Accent4 3 2 3" xfId="1194" xr:uid="{00000000-0005-0000-0000-000097040000}"/>
    <cellStyle name="20% - Accent4 3 2 3 2" xfId="1195" xr:uid="{00000000-0005-0000-0000-000098040000}"/>
    <cellStyle name="20% - Accent4 3 2 3 2 2" xfId="1196" xr:uid="{00000000-0005-0000-0000-000099040000}"/>
    <cellStyle name="20% - Accent4 3 2 3 3" xfId="1197" xr:uid="{00000000-0005-0000-0000-00009A040000}"/>
    <cellStyle name="20% - Accent4 3 2 3 3 2" xfId="1198" xr:uid="{00000000-0005-0000-0000-00009B040000}"/>
    <cellStyle name="20% - Accent4 3 2 3 4" xfId="1199" xr:uid="{00000000-0005-0000-0000-00009C040000}"/>
    <cellStyle name="20% - Accent4 3 2 3 4 2" xfId="1200" xr:uid="{00000000-0005-0000-0000-00009D040000}"/>
    <cellStyle name="20% - Accent4 3 2 3 5" xfId="1201" xr:uid="{00000000-0005-0000-0000-00009E040000}"/>
    <cellStyle name="20% - Accent4 3 2 3 5 2" xfId="1202" xr:uid="{00000000-0005-0000-0000-00009F040000}"/>
    <cellStyle name="20% - Accent4 3 2 3 6" xfId="1203" xr:uid="{00000000-0005-0000-0000-0000A0040000}"/>
    <cellStyle name="20% - Accent4 3 2 4" xfId="1204" xr:uid="{00000000-0005-0000-0000-0000A1040000}"/>
    <cellStyle name="20% - Accent4 3 2 4 2" xfId="1205" xr:uid="{00000000-0005-0000-0000-0000A2040000}"/>
    <cellStyle name="20% - Accent4 3 2 5" xfId="1206" xr:uid="{00000000-0005-0000-0000-0000A3040000}"/>
    <cellStyle name="20% - Accent4 3 2 5 2" xfId="1207" xr:uid="{00000000-0005-0000-0000-0000A4040000}"/>
    <cellStyle name="20% - Accent4 3 2 6" xfId="1208" xr:uid="{00000000-0005-0000-0000-0000A5040000}"/>
    <cellStyle name="20% - Accent4 3 2 6 2" xfId="1209" xr:uid="{00000000-0005-0000-0000-0000A6040000}"/>
    <cellStyle name="20% - Accent4 3 2 7" xfId="1210" xr:uid="{00000000-0005-0000-0000-0000A7040000}"/>
    <cellStyle name="20% - Accent4 3 2 7 2" xfId="1211" xr:uid="{00000000-0005-0000-0000-0000A8040000}"/>
    <cellStyle name="20% - Accent4 3 2 8" xfId="1212" xr:uid="{00000000-0005-0000-0000-0000A9040000}"/>
    <cellStyle name="20% - Accent4 3 2 8 2" xfId="1213" xr:uid="{00000000-0005-0000-0000-0000AA040000}"/>
    <cellStyle name="20% - Accent4 3 2 9" xfId="1214" xr:uid="{00000000-0005-0000-0000-0000AB040000}"/>
    <cellStyle name="20% - Accent4 3 2 9 2" xfId="1215" xr:uid="{00000000-0005-0000-0000-0000AC040000}"/>
    <cellStyle name="20% - Accent4 3 3" xfId="1216" xr:uid="{00000000-0005-0000-0000-0000AD040000}"/>
    <cellStyle name="20% - Accent4 3 3 2" xfId="1217" xr:uid="{00000000-0005-0000-0000-0000AE040000}"/>
    <cellStyle name="20% - Accent4 3 3 2 2" xfId="1218" xr:uid="{00000000-0005-0000-0000-0000AF040000}"/>
    <cellStyle name="20% - Accent4 3 3 3" xfId="1219" xr:uid="{00000000-0005-0000-0000-0000B0040000}"/>
    <cellStyle name="20% - Accent4 3 3 3 2" xfId="1220" xr:uid="{00000000-0005-0000-0000-0000B1040000}"/>
    <cellStyle name="20% - Accent4 3 3 4" xfId="1221" xr:uid="{00000000-0005-0000-0000-0000B2040000}"/>
    <cellStyle name="20% - Accent4 3 3 4 2" xfId="1222" xr:uid="{00000000-0005-0000-0000-0000B3040000}"/>
    <cellStyle name="20% - Accent4 3 3 5" xfId="1223" xr:uid="{00000000-0005-0000-0000-0000B4040000}"/>
    <cellStyle name="20% - Accent4 3 3 5 2" xfId="1224" xr:uid="{00000000-0005-0000-0000-0000B5040000}"/>
    <cellStyle name="20% - Accent4 3 3 6" xfId="1225" xr:uid="{00000000-0005-0000-0000-0000B6040000}"/>
    <cellStyle name="20% - Accent4 3 4" xfId="1226" xr:uid="{00000000-0005-0000-0000-0000B7040000}"/>
    <cellStyle name="20% - Accent4 3 4 2" xfId="1227" xr:uid="{00000000-0005-0000-0000-0000B8040000}"/>
    <cellStyle name="20% - Accent4 3 4 2 2" xfId="1228" xr:uid="{00000000-0005-0000-0000-0000B9040000}"/>
    <cellStyle name="20% - Accent4 3 4 3" xfId="1229" xr:uid="{00000000-0005-0000-0000-0000BA040000}"/>
    <cellStyle name="20% - Accent4 3 4 3 2" xfId="1230" xr:uid="{00000000-0005-0000-0000-0000BB040000}"/>
    <cellStyle name="20% - Accent4 3 4 4" xfId="1231" xr:uid="{00000000-0005-0000-0000-0000BC040000}"/>
    <cellStyle name="20% - Accent4 3 4 4 2" xfId="1232" xr:uid="{00000000-0005-0000-0000-0000BD040000}"/>
    <cellStyle name="20% - Accent4 3 4 5" xfId="1233" xr:uid="{00000000-0005-0000-0000-0000BE040000}"/>
    <cellStyle name="20% - Accent4 3 4 5 2" xfId="1234" xr:uid="{00000000-0005-0000-0000-0000BF040000}"/>
    <cellStyle name="20% - Accent4 3 4 6" xfId="1235" xr:uid="{00000000-0005-0000-0000-0000C0040000}"/>
    <cellStyle name="20% - Accent4 3 5" xfId="1236" xr:uid="{00000000-0005-0000-0000-0000C1040000}"/>
    <cellStyle name="20% - Accent4 3 5 2" xfId="1237" xr:uid="{00000000-0005-0000-0000-0000C2040000}"/>
    <cellStyle name="20% - Accent4 3 6" xfId="1238" xr:uid="{00000000-0005-0000-0000-0000C3040000}"/>
    <cellStyle name="20% - Accent4 3 6 2" xfId="1239" xr:uid="{00000000-0005-0000-0000-0000C4040000}"/>
    <cellStyle name="20% - Accent4 3 7" xfId="1240" xr:uid="{00000000-0005-0000-0000-0000C5040000}"/>
    <cellStyle name="20% - Accent4 3 7 2" xfId="1241" xr:uid="{00000000-0005-0000-0000-0000C6040000}"/>
    <cellStyle name="20% - Accent4 3 8" xfId="1242" xr:uid="{00000000-0005-0000-0000-0000C7040000}"/>
    <cellStyle name="20% - Accent4 3 8 2" xfId="1243" xr:uid="{00000000-0005-0000-0000-0000C8040000}"/>
    <cellStyle name="20% - Accent4 3 9" xfId="1244" xr:uid="{00000000-0005-0000-0000-0000C9040000}"/>
    <cellStyle name="20% - Accent4 3 9 2" xfId="1245" xr:uid="{00000000-0005-0000-0000-0000CA040000}"/>
    <cellStyle name="20% - Accent4 4" xfId="1246" xr:uid="{00000000-0005-0000-0000-0000CB040000}"/>
    <cellStyle name="20% - Accent4 4 10" xfId="1247" xr:uid="{00000000-0005-0000-0000-0000CC040000}"/>
    <cellStyle name="20% - Accent4 4 10 2" xfId="1248" xr:uid="{00000000-0005-0000-0000-0000CD040000}"/>
    <cellStyle name="20% - Accent4 4 11" xfId="1249" xr:uid="{00000000-0005-0000-0000-0000CE040000}"/>
    <cellStyle name="20% - Accent4 4 2" xfId="1250" xr:uid="{00000000-0005-0000-0000-0000CF040000}"/>
    <cellStyle name="20% - Accent4 4 2 10" xfId="1251" xr:uid="{00000000-0005-0000-0000-0000D0040000}"/>
    <cellStyle name="20% - Accent4 4 2 2" xfId="1252" xr:uid="{00000000-0005-0000-0000-0000D1040000}"/>
    <cellStyle name="20% - Accent4 4 2 2 2" xfId="1253" xr:uid="{00000000-0005-0000-0000-0000D2040000}"/>
    <cellStyle name="20% - Accent4 4 2 2 2 2" xfId="1254" xr:uid="{00000000-0005-0000-0000-0000D3040000}"/>
    <cellStyle name="20% - Accent4 4 2 2 3" xfId="1255" xr:uid="{00000000-0005-0000-0000-0000D4040000}"/>
    <cellStyle name="20% - Accent4 4 2 2 3 2" xfId="1256" xr:uid="{00000000-0005-0000-0000-0000D5040000}"/>
    <cellStyle name="20% - Accent4 4 2 2 4" xfId="1257" xr:uid="{00000000-0005-0000-0000-0000D6040000}"/>
    <cellStyle name="20% - Accent4 4 2 2 4 2" xfId="1258" xr:uid="{00000000-0005-0000-0000-0000D7040000}"/>
    <cellStyle name="20% - Accent4 4 2 2 5" xfId="1259" xr:uid="{00000000-0005-0000-0000-0000D8040000}"/>
    <cellStyle name="20% - Accent4 4 2 2 5 2" xfId="1260" xr:uid="{00000000-0005-0000-0000-0000D9040000}"/>
    <cellStyle name="20% - Accent4 4 2 2 6" xfId="1261" xr:uid="{00000000-0005-0000-0000-0000DA040000}"/>
    <cellStyle name="20% - Accent4 4 2 3" xfId="1262" xr:uid="{00000000-0005-0000-0000-0000DB040000}"/>
    <cellStyle name="20% - Accent4 4 2 3 2" xfId="1263" xr:uid="{00000000-0005-0000-0000-0000DC040000}"/>
    <cellStyle name="20% - Accent4 4 2 3 2 2" xfId="1264" xr:uid="{00000000-0005-0000-0000-0000DD040000}"/>
    <cellStyle name="20% - Accent4 4 2 3 3" xfId="1265" xr:uid="{00000000-0005-0000-0000-0000DE040000}"/>
    <cellStyle name="20% - Accent4 4 2 3 3 2" xfId="1266" xr:uid="{00000000-0005-0000-0000-0000DF040000}"/>
    <cellStyle name="20% - Accent4 4 2 3 4" xfId="1267" xr:uid="{00000000-0005-0000-0000-0000E0040000}"/>
    <cellStyle name="20% - Accent4 4 2 3 4 2" xfId="1268" xr:uid="{00000000-0005-0000-0000-0000E1040000}"/>
    <cellStyle name="20% - Accent4 4 2 3 5" xfId="1269" xr:uid="{00000000-0005-0000-0000-0000E2040000}"/>
    <cellStyle name="20% - Accent4 4 2 3 5 2" xfId="1270" xr:uid="{00000000-0005-0000-0000-0000E3040000}"/>
    <cellStyle name="20% - Accent4 4 2 3 6" xfId="1271" xr:uid="{00000000-0005-0000-0000-0000E4040000}"/>
    <cellStyle name="20% - Accent4 4 2 4" xfId="1272" xr:uid="{00000000-0005-0000-0000-0000E5040000}"/>
    <cellStyle name="20% - Accent4 4 2 4 2" xfId="1273" xr:uid="{00000000-0005-0000-0000-0000E6040000}"/>
    <cellStyle name="20% - Accent4 4 2 5" xfId="1274" xr:uid="{00000000-0005-0000-0000-0000E7040000}"/>
    <cellStyle name="20% - Accent4 4 2 5 2" xfId="1275" xr:uid="{00000000-0005-0000-0000-0000E8040000}"/>
    <cellStyle name="20% - Accent4 4 2 6" xfId="1276" xr:uid="{00000000-0005-0000-0000-0000E9040000}"/>
    <cellStyle name="20% - Accent4 4 2 6 2" xfId="1277" xr:uid="{00000000-0005-0000-0000-0000EA040000}"/>
    <cellStyle name="20% - Accent4 4 2 7" xfId="1278" xr:uid="{00000000-0005-0000-0000-0000EB040000}"/>
    <cellStyle name="20% - Accent4 4 2 7 2" xfId="1279" xr:uid="{00000000-0005-0000-0000-0000EC040000}"/>
    <cellStyle name="20% - Accent4 4 2 8" xfId="1280" xr:uid="{00000000-0005-0000-0000-0000ED040000}"/>
    <cellStyle name="20% - Accent4 4 2 8 2" xfId="1281" xr:uid="{00000000-0005-0000-0000-0000EE040000}"/>
    <cellStyle name="20% - Accent4 4 2 9" xfId="1282" xr:uid="{00000000-0005-0000-0000-0000EF040000}"/>
    <cellStyle name="20% - Accent4 4 2 9 2" xfId="1283" xr:uid="{00000000-0005-0000-0000-0000F0040000}"/>
    <cellStyle name="20% - Accent4 4 3" xfId="1284" xr:uid="{00000000-0005-0000-0000-0000F1040000}"/>
    <cellStyle name="20% - Accent4 4 3 2" xfId="1285" xr:uid="{00000000-0005-0000-0000-0000F2040000}"/>
    <cellStyle name="20% - Accent4 4 3 2 2" xfId="1286" xr:uid="{00000000-0005-0000-0000-0000F3040000}"/>
    <cellStyle name="20% - Accent4 4 3 3" xfId="1287" xr:uid="{00000000-0005-0000-0000-0000F4040000}"/>
    <cellStyle name="20% - Accent4 4 3 3 2" xfId="1288" xr:uid="{00000000-0005-0000-0000-0000F5040000}"/>
    <cellStyle name="20% - Accent4 4 3 4" xfId="1289" xr:uid="{00000000-0005-0000-0000-0000F6040000}"/>
    <cellStyle name="20% - Accent4 4 3 4 2" xfId="1290" xr:uid="{00000000-0005-0000-0000-0000F7040000}"/>
    <cellStyle name="20% - Accent4 4 3 5" xfId="1291" xr:uid="{00000000-0005-0000-0000-0000F8040000}"/>
    <cellStyle name="20% - Accent4 4 3 5 2" xfId="1292" xr:uid="{00000000-0005-0000-0000-0000F9040000}"/>
    <cellStyle name="20% - Accent4 4 3 6" xfId="1293" xr:uid="{00000000-0005-0000-0000-0000FA040000}"/>
    <cellStyle name="20% - Accent4 4 4" xfId="1294" xr:uid="{00000000-0005-0000-0000-0000FB040000}"/>
    <cellStyle name="20% - Accent4 4 4 2" xfId="1295" xr:uid="{00000000-0005-0000-0000-0000FC040000}"/>
    <cellStyle name="20% - Accent4 4 4 2 2" xfId="1296" xr:uid="{00000000-0005-0000-0000-0000FD040000}"/>
    <cellStyle name="20% - Accent4 4 4 3" xfId="1297" xr:uid="{00000000-0005-0000-0000-0000FE040000}"/>
    <cellStyle name="20% - Accent4 4 4 3 2" xfId="1298" xr:uid="{00000000-0005-0000-0000-0000FF040000}"/>
    <cellStyle name="20% - Accent4 4 4 4" xfId="1299" xr:uid="{00000000-0005-0000-0000-000000050000}"/>
    <cellStyle name="20% - Accent4 4 4 4 2" xfId="1300" xr:uid="{00000000-0005-0000-0000-000001050000}"/>
    <cellStyle name="20% - Accent4 4 4 5" xfId="1301" xr:uid="{00000000-0005-0000-0000-000002050000}"/>
    <cellStyle name="20% - Accent4 4 4 5 2" xfId="1302" xr:uid="{00000000-0005-0000-0000-000003050000}"/>
    <cellStyle name="20% - Accent4 4 4 6" xfId="1303" xr:uid="{00000000-0005-0000-0000-000004050000}"/>
    <cellStyle name="20% - Accent4 4 5" xfId="1304" xr:uid="{00000000-0005-0000-0000-000005050000}"/>
    <cellStyle name="20% - Accent4 4 5 2" xfId="1305" xr:uid="{00000000-0005-0000-0000-000006050000}"/>
    <cellStyle name="20% - Accent4 4 6" xfId="1306" xr:uid="{00000000-0005-0000-0000-000007050000}"/>
    <cellStyle name="20% - Accent4 4 6 2" xfId="1307" xr:uid="{00000000-0005-0000-0000-000008050000}"/>
    <cellStyle name="20% - Accent4 4 7" xfId="1308" xr:uid="{00000000-0005-0000-0000-000009050000}"/>
    <cellStyle name="20% - Accent4 4 7 2" xfId="1309" xr:uid="{00000000-0005-0000-0000-00000A050000}"/>
    <cellStyle name="20% - Accent4 4 8" xfId="1310" xr:uid="{00000000-0005-0000-0000-00000B050000}"/>
    <cellStyle name="20% - Accent4 4 8 2" xfId="1311" xr:uid="{00000000-0005-0000-0000-00000C050000}"/>
    <cellStyle name="20% - Accent4 4 9" xfId="1312" xr:uid="{00000000-0005-0000-0000-00000D050000}"/>
    <cellStyle name="20% - Accent4 4 9 2" xfId="1313" xr:uid="{00000000-0005-0000-0000-00000E050000}"/>
    <cellStyle name="20% - Accent4 5" xfId="1314" xr:uid="{00000000-0005-0000-0000-00000F050000}"/>
    <cellStyle name="20% - Accent4 5 10" xfId="1315" xr:uid="{00000000-0005-0000-0000-000010050000}"/>
    <cellStyle name="20% - Accent4 5 2" xfId="1316" xr:uid="{00000000-0005-0000-0000-000011050000}"/>
    <cellStyle name="20% - Accent4 5 2 2" xfId="1317" xr:uid="{00000000-0005-0000-0000-000012050000}"/>
    <cellStyle name="20% - Accent4 5 2 2 2" xfId="1318" xr:uid="{00000000-0005-0000-0000-000013050000}"/>
    <cellStyle name="20% - Accent4 5 2 3" xfId="1319" xr:uid="{00000000-0005-0000-0000-000014050000}"/>
    <cellStyle name="20% - Accent4 5 2 3 2" xfId="1320" xr:uid="{00000000-0005-0000-0000-000015050000}"/>
    <cellStyle name="20% - Accent4 5 2 4" xfId="1321" xr:uid="{00000000-0005-0000-0000-000016050000}"/>
    <cellStyle name="20% - Accent4 5 2 4 2" xfId="1322" xr:uid="{00000000-0005-0000-0000-000017050000}"/>
    <cellStyle name="20% - Accent4 5 2 5" xfId="1323" xr:uid="{00000000-0005-0000-0000-000018050000}"/>
    <cellStyle name="20% - Accent4 5 2 5 2" xfId="1324" xr:uid="{00000000-0005-0000-0000-000019050000}"/>
    <cellStyle name="20% - Accent4 5 2 6" xfId="1325" xr:uid="{00000000-0005-0000-0000-00001A050000}"/>
    <cellStyle name="20% - Accent4 5 3" xfId="1326" xr:uid="{00000000-0005-0000-0000-00001B050000}"/>
    <cellStyle name="20% - Accent4 5 3 2" xfId="1327" xr:uid="{00000000-0005-0000-0000-00001C050000}"/>
    <cellStyle name="20% - Accent4 5 3 2 2" xfId="1328" xr:uid="{00000000-0005-0000-0000-00001D050000}"/>
    <cellStyle name="20% - Accent4 5 3 3" xfId="1329" xr:uid="{00000000-0005-0000-0000-00001E050000}"/>
    <cellStyle name="20% - Accent4 5 3 3 2" xfId="1330" xr:uid="{00000000-0005-0000-0000-00001F050000}"/>
    <cellStyle name="20% - Accent4 5 3 4" xfId="1331" xr:uid="{00000000-0005-0000-0000-000020050000}"/>
    <cellStyle name="20% - Accent4 5 3 4 2" xfId="1332" xr:uid="{00000000-0005-0000-0000-000021050000}"/>
    <cellStyle name="20% - Accent4 5 3 5" xfId="1333" xr:uid="{00000000-0005-0000-0000-000022050000}"/>
    <cellStyle name="20% - Accent4 5 3 5 2" xfId="1334" xr:uid="{00000000-0005-0000-0000-000023050000}"/>
    <cellStyle name="20% - Accent4 5 3 6" xfId="1335" xr:uid="{00000000-0005-0000-0000-000024050000}"/>
    <cellStyle name="20% - Accent4 5 4" xfId="1336" xr:uid="{00000000-0005-0000-0000-000025050000}"/>
    <cellStyle name="20% - Accent4 5 4 2" xfId="1337" xr:uid="{00000000-0005-0000-0000-000026050000}"/>
    <cellStyle name="20% - Accent4 5 5" xfId="1338" xr:uid="{00000000-0005-0000-0000-000027050000}"/>
    <cellStyle name="20% - Accent4 5 5 2" xfId="1339" xr:uid="{00000000-0005-0000-0000-000028050000}"/>
    <cellStyle name="20% - Accent4 5 6" xfId="1340" xr:uid="{00000000-0005-0000-0000-000029050000}"/>
    <cellStyle name="20% - Accent4 5 6 2" xfId="1341" xr:uid="{00000000-0005-0000-0000-00002A050000}"/>
    <cellStyle name="20% - Accent4 5 7" xfId="1342" xr:uid="{00000000-0005-0000-0000-00002B050000}"/>
    <cellStyle name="20% - Accent4 5 7 2" xfId="1343" xr:uid="{00000000-0005-0000-0000-00002C050000}"/>
    <cellStyle name="20% - Accent4 5 8" xfId="1344" xr:uid="{00000000-0005-0000-0000-00002D050000}"/>
    <cellStyle name="20% - Accent4 5 8 2" xfId="1345" xr:uid="{00000000-0005-0000-0000-00002E050000}"/>
    <cellStyle name="20% - Accent4 5 9" xfId="1346" xr:uid="{00000000-0005-0000-0000-00002F050000}"/>
    <cellStyle name="20% - Accent4 5 9 2" xfId="1347" xr:uid="{00000000-0005-0000-0000-000030050000}"/>
    <cellStyle name="20% - Accent4 6" xfId="1348" xr:uid="{00000000-0005-0000-0000-000031050000}"/>
    <cellStyle name="20% - Accent4 6 10" xfId="1349" xr:uid="{00000000-0005-0000-0000-000032050000}"/>
    <cellStyle name="20% - Accent4 6 2" xfId="1350" xr:uid="{00000000-0005-0000-0000-000033050000}"/>
    <cellStyle name="20% - Accent4 6 2 2" xfId="1351" xr:uid="{00000000-0005-0000-0000-000034050000}"/>
    <cellStyle name="20% - Accent4 6 2 2 2" xfId="1352" xr:uid="{00000000-0005-0000-0000-000035050000}"/>
    <cellStyle name="20% - Accent4 6 2 3" xfId="1353" xr:uid="{00000000-0005-0000-0000-000036050000}"/>
    <cellStyle name="20% - Accent4 6 2 3 2" xfId="1354" xr:uid="{00000000-0005-0000-0000-000037050000}"/>
    <cellStyle name="20% - Accent4 6 2 4" xfId="1355" xr:uid="{00000000-0005-0000-0000-000038050000}"/>
    <cellStyle name="20% - Accent4 6 2 4 2" xfId="1356" xr:uid="{00000000-0005-0000-0000-000039050000}"/>
    <cellStyle name="20% - Accent4 6 2 5" xfId="1357" xr:uid="{00000000-0005-0000-0000-00003A050000}"/>
    <cellStyle name="20% - Accent4 6 2 5 2" xfId="1358" xr:uid="{00000000-0005-0000-0000-00003B050000}"/>
    <cellStyle name="20% - Accent4 6 2 6" xfId="1359" xr:uid="{00000000-0005-0000-0000-00003C050000}"/>
    <cellStyle name="20% - Accent4 6 3" xfId="1360" xr:uid="{00000000-0005-0000-0000-00003D050000}"/>
    <cellStyle name="20% - Accent4 6 3 2" xfId="1361" xr:uid="{00000000-0005-0000-0000-00003E050000}"/>
    <cellStyle name="20% - Accent4 6 3 2 2" xfId="1362" xr:uid="{00000000-0005-0000-0000-00003F050000}"/>
    <cellStyle name="20% - Accent4 6 3 3" xfId="1363" xr:uid="{00000000-0005-0000-0000-000040050000}"/>
    <cellStyle name="20% - Accent4 6 3 3 2" xfId="1364" xr:uid="{00000000-0005-0000-0000-000041050000}"/>
    <cellStyle name="20% - Accent4 6 3 4" xfId="1365" xr:uid="{00000000-0005-0000-0000-000042050000}"/>
    <cellStyle name="20% - Accent4 6 3 4 2" xfId="1366" xr:uid="{00000000-0005-0000-0000-000043050000}"/>
    <cellStyle name="20% - Accent4 6 3 5" xfId="1367" xr:uid="{00000000-0005-0000-0000-000044050000}"/>
    <cellStyle name="20% - Accent4 6 3 5 2" xfId="1368" xr:uid="{00000000-0005-0000-0000-000045050000}"/>
    <cellStyle name="20% - Accent4 6 3 6" xfId="1369" xr:uid="{00000000-0005-0000-0000-000046050000}"/>
    <cellStyle name="20% - Accent4 6 4" xfId="1370" xr:uid="{00000000-0005-0000-0000-000047050000}"/>
    <cellStyle name="20% - Accent4 6 4 2" xfId="1371" xr:uid="{00000000-0005-0000-0000-000048050000}"/>
    <cellStyle name="20% - Accent4 6 5" xfId="1372" xr:uid="{00000000-0005-0000-0000-000049050000}"/>
    <cellStyle name="20% - Accent4 6 5 2" xfId="1373" xr:uid="{00000000-0005-0000-0000-00004A050000}"/>
    <cellStyle name="20% - Accent4 6 6" xfId="1374" xr:uid="{00000000-0005-0000-0000-00004B050000}"/>
    <cellStyle name="20% - Accent4 6 6 2" xfId="1375" xr:uid="{00000000-0005-0000-0000-00004C050000}"/>
    <cellStyle name="20% - Accent4 6 7" xfId="1376" xr:uid="{00000000-0005-0000-0000-00004D050000}"/>
    <cellStyle name="20% - Accent4 6 7 2" xfId="1377" xr:uid="{00000000-0005-0000-0000-00004E050000}"/>
    <cellStyle name="20% - Accent4 6 8" xfId="1378" xr:uid="{00000000-0005-0000-0000-00004F050000}"/>
    <cellStyle name="20% - Accent4 6 8 2" xfId="1379" xr:uid="{00000000-0005-0000-0000-000050050000}"/>
    <cellStyle name="20% - Accent4 6 9" xfId="1380" xr:uid="{00000000-0005-0000-0000-000051050000}"/>
    <cellStyle name="20% - Accent4 6 9 2" xfId="1381" xr:uid="{00000000-0005-0000-0000-000052050000}"/>
    <cellStyle name="20% - Accent4 7" xfId="1382" xr:uid="{00000000-0005-0000-0000-000053050000}"/>
    <cellStyle name="20% - Accent4 7 10" xfId="1383" xr:uid="{00000000-0005-0000-0000-000054050000}"/>
    <cellStyle name="20% - Accent4 7 2" xfId="1384" xr:uid="{00000000-0005-0000-0000-000055050000}"/>
    <cellStyle name="20% - Accent4 7 2 2" xfId="1385" xr:uid="{00000000-0005-0000-0000-000056050000}"/>
    <cellStyle name="20% - Accent4 7 2 2 2" xfId="1386" xr:uid="{00000000-0005-0000-0000-000057050000}"/>
    <cellStyle name="20% - Accent4 7 2 3" xfId="1387" xr:uid="{00000000-0005-0000-0000-000058050000}"/>
    <cellStyle name="20% - Accent4 7 2 3 2" xfId="1388" xr:uid="{00000000-0005-0000-0000-000059050000}"/>
    <cellStyle name="20% - Accent4 7 2 4" xfId="1389" xr:uid="{00000000-0005-0000-0000-00005A050000}"/>
    <cellStyle name="20% - Accent4 7 2 4 2" xfId="1390" xr:uid="{00000000-0005-0000-0000-00005B050000}"/>
    <cellStyle name="20% - Accent4 7 2 5" xfId="1391" xr:uid="{00000000-0005-0000-0000-00005C050000}"/>
    <cellStyle name="20% - Accent4 7 2 5 2" xfId="1392" xr:uid="{00000000-0005-0000-0000-00005D050000}"/>
    <cellStyle name="20% - Accent4 7 2 6" xfId="1393" xr:uid="{00000000-0005-0000-0000-00005E050000}"/>
    <cellStyle name="20% - Accent4 7 3" xfId="1394" xr:uid="{00000000-0005-0000-0000-00005F050000}"/>
    <cellStyle name="20% - Accent4 7 3 2" xfId="1395" xr:uid="{00000000-0005-0000-0000-000060050000}"/>
    <cellStyle name="20% - Accent4 7 3 2 2" xfId="1396" xr:uid="{00000000-0005-0000-0000-000061050000}"/>
    <cellStyle name="20% - Accent4 7 3 3" xfId="1397" xr:uid="{00000000-0005-0000-0000-000062050000}"/>
    <cellStyle name="20% - Accent4 7 3 3 2" xfId="1398" xr:uid="{00000000-0005-0000-0000-000063050000}"/>
    <cellStyle name="20% - Accent4 7 3 4" xfId="1399" xr:uid="{00000000-0005-0000-0000-000064050000}"/>
    <cellStyle name="20% - Accent4 7 3 4 2" xfId="1400" xr:uid="{00000000-0005-0000-0000-000065050000}"/>
    <cellStyle name="20% - Accent4 7 3 5" xfId="1401" xr:uid="{00000000-0005-0000-0000-000066050000}"/>
    <cellStyle name="20% - Accent4 7 3 5 2" xfId="1402" xr:uid="{00000000-0005-0000-0000-000067050000}"/>
    <cellStyle name="20% - Accent4 7 3 6" xfId="1403" xr:uid="{00000000-0005-0000-0000-000068050000}"/>
    <cellStyle name="20% - Accent4 7 4" xfId="1404" xr:uid="{00000000-0005-0000-0000-000069050000}"/>
    <cellStyle name="20% - Accent4 7 4 2" xfId="1405" xr:uid="{00000000-0005-0000-0000-00006A050000}"/>
    <cellStyle name="20% - Accent4 7 5" xfId="1406" xr:uid="{00000000-0005-0000-0000-00006B050000}"/>
    <cellStyle name="20% - Accent4 7 5 2" xfId="1407" xr:uid="{00000000-0005-0000-0000-00006C050000}"/>
    <cellStyle name="20% - Accent4 7 6" xfId="1408" xr:uid="{00000000-0005-0000-0000-00006D050000}"/>
    <cellStyle name="20% - Accent4 7 6 2" xfId="1409" xr:uid="{00000000-0005-0000-0000-00006E050000}"/>
    <cellStyle name="20% - Accent4 7 7" xfId="1410" xr:uid="{00000000-0005-0000-0000-00006F050000}"/>
    <cellStyle name="20% - Accent4 7 7 2" xfId="1411" xr:uid="{00000000-0005-0000-0000-000070050000}"/>
    <cellStyle name="20% - Accent4 7 8" xfId="1412" xr:uid="{00000000-0005-0000-0000-000071050000}"/>
    <cellStyle name="20% - Accent4 7 8 2" xfId="1413" xr:uid="{00000000-0005-0000-0000-000072050000}"/>
    <cellStyle name="20% - Accent4 7 9" xfId="1414" xr:uid="{00000000-0005-0000-0000-000073050000}"/>
    <cellStyle name="20% - Accent4 7 9 2" xfId="1415" xr:uid="{00000000-0005-0000-0000-000074050000}"/>
    <cellStyle name="20% - Accent4 8" xfId="1416" xr:uid="{00000000-0005-0000-0000-000075050000}"/>
    <cellStyle name="20% - Accent4 8 2" xfId="1417" xr:uid="{00000000-0005-0000-0000-000076050000}"/>
    <cellStyle name="20% - Accent4 8 2 2" xfId="1418" xr:uid="{00000000-0005-0000-0000-000077050000}"/>
    <cellStyle name="20% - Accent4 8 3" xfId="1419" xr:uid="{00000000-0005-0000-0000-000078050000}"/>
    <cellStyle name="20% - Accent4 8 3 2" xfId="1420" xr:uid="{00000000-0005-0000-0000-000079050000}"/>
    <cellStyle name="20% - Accent4 8 4" xfId="1421" xr:uid="{00000000-0005-0000-0000-00007A050000}"/>
    <cellStyle name="20% - Accent4 8 4 2" xfId="1422" xr:uid="{00000000-0005-0000-0000-00007B050000}"/>
    <cellStyle name="20% - Accent4 8 5" xfId="1423" xr:uid="{00000000-0005-0000-0000-00007C050000}"/>
    <cellStyle name="20% - Accent4 8 5 2" xfId="1424" xr:uid="{00000000-0005-0000-0000-00007D050000}"/>
    <cellStyle name="20% - Accent4 8 6" xfId="1425" xr:uid="{00000000-0005-0000-0000-00007E050000}"/>
    <cellStyle name="20% - Accent4 9" xfId="1426" xr:uid="{00000000-0005-0000-0000-00007F050000}"/>
    <cellStyle name="20% - Accent4 9 2" xfId="1427" xr:uid="{00000000-0005-0000-0000-000080050000}"/>
    <cellStyle name="20% - Accent4 9 2 2" xfId="1428" xr:uid="{00000000-0005-0000-0000-000081050000}"/>
    <cellStyle name="20% - Accent4 9 3" xfId="1429" xr:uid="{00000000-0005-0000-0000-000082050000}"/>
    <cellStyle name="20% - Accent4 9 3 2" xfId="1430" xr:uid="{00000000-0005-0000-0000-000083050000}"/>
    <cellStyle name="20% - Accent4 9 4" xfId="1431" xr:uid="{00000000-0005-0000-0000-000084050000}"/>
    <cellStyle name="20% - Accent4 9 4 2" xfId="1432" xr:uid="{00000000-0005-0000-0000-000085050000}"/>
    <cellStyle name="20% - Accent4 9 5" xfId="1433" xr:uid="{00000000-0005-0000-0000-000086050000}"/>
    <cellStyle name="20% - Accent4 9 5 2" xfId="1434" xr:uid="{00000000-0005-0000-0000-000087050000}"/>
    <cellStyle name="20% - Accent4 9 6" xfId="1435" xr:uid="{00000000-0005-0000-0000-000088050000}"/>
    <cellStyle name="20% - Accent5 10" xfId="1436" xr:uid="{00000000-0005-0000-0000-000089050000}"/>
    <cellStyle name="20% - Accent5 10 2" xfId="1437" xr:uid="{00000000-0005-0000-0000-00008A050000}"/>
    <cellStyle name="20% - Accent5 10 2 2" xfId="1438" xr:uid="{00000000-0005-0000-0000-00008B050000}"/>
    <cellStyle name="20% - Accent5 10 3" xfId="1439" xr:uid="{00000000-0005-0000-0000-00008C050000}"/>
    <cellStyle name="20% - Accent5 10 3 2" xfId="1440" xr:uid="{00000000-0005-0000-0000-00008D050000}"/>
    <cellStyle name="20% - Accent5 10 4" xfId="1441" xr:uid="{00000000-0005-0000-0000-00008E050000}"/>
    <cellStyle name="20% - Accent5 11" xfId="1442" xr:uid="{00000000-0005-0000-0000-00008F050000}"/>
    <cellStyle name="20% - Accent5 11 2" xfId="1443" xr:uid="{00000000-0005-0000-0000-000090050000}"/>
    <cellStyle name="20% - Accent5 12" xfId="1444" xr:uid="{00000000-0005-0000-0000-000091050000}"/>
    <cellStyle name="20% - Accent5 12 2" xfId="1445" xr:uid="{00000000-0005-0000-0000-000092050000}"/>
    <cellStyle name="20% - Accent5 13" xfId="1446" xr:uid="{00000000-0005-0000-0000-000093050000}"/>
    <cellStyle name="20% - Accent5 13 2" xfId="1447" xr:uid="{00000000-0005-0000-0000-000094050000}"/>
    <cellStyle name="20% - Accent5 14" xfId="1448" xr:uid="{00000000-0005-0000-0000-000095050000}"/>
    <cellStyle name="20% - Accent5 14 2" xfId="1449" xr:uid="{00000000-0005-0000-0000-000096050000}"/>
    <cellStyle name="20% - Accent5 15" xfId="1450" xr:uid="{00000000-0005-0000-0000-000097050000}"/>
    <cellStyle name="20% - Accent5 15 2" xfId="1451" xr:uid="{00000000-0005-0000-0000-000098050000}"/>
    <cellStyle name="20% - Accent5 16" xfId="1452" xr:uid="{00000000-0005-0000-0000-000099050000}"/>
    <cellStyle name="20% - Accent5 16 2" xfId="1453" xr:uid="{00000000-0005-0000-0000-00009A050000}"/>
    <cellStyle name="20% - Accent5 17" xfId="1454" xr:uid="{00000000-0005-0000-0000-00009B050000}"/>
    <cellStyle name="20% - Accent5 17 2" xfId="1455" xr:uid="{00000000-0005-0000-0000-00009C050000}"/>
    <cellStyle name="20% - Accent5 18" xfId="1456" xr:uid="{00000000-0005-0000-0000-00009D050000}"/>
    <cellStyle name="20% - Accent5 18 2" xfId="1457" xr:uid="{00000000-0005-0000-0000-00009E050000}"/>
    <cellStyle name="20% - Accent5 19" xfId="1458" xr:uid="{00000000-0005-0000-0000-00009F050000}"/>
    <cellStyle name="20% - Accent5 19 2" xfId="1459" xr:uid="{00000000-0005-0000-0000-0000A0050000}"/>
    <cellStyle name="20% - Accent5 2" xfId="1460" xr:uid="{00000000-0005-0000-0000-0000A1050000}"/>
    <cellStyle name="20% - Accent5 2 10" xfId="1461" xr:uid="{00000000-0005-0000-0000-0000A2050000}"/>
    <cellStyle name="20% - Accent5 2 10 2" xfId="1462" xr:uid="{00000000-0005-0000-0000-0000A3050000}"/>
    <cellStyle name="20% - Accent5 2 11" xfId="1463" xr:uid="{00000000-0005-0000-0000-0000A4050000}"/>
    <cellStyle name="20% - Accent5 2 2" xfId="1464" xr:uid="{00000000-0005-0000-0000-0000A5050000}"/>
    <cellStyle name="20% - Accent5 2 2 10" xfId="1465" xr:uid="{00000000-0005-0000-0000-0000A6050000}"/>
    <cellStyle name="20% - Accent5 2 2 2" xfId="1466" xr:uid="{00000000-0005-0000-0000-0000A7050000}"/>
    <cellStyle name="20% - Accent5 2 2 2 2" xfId="1467" xr:uid="{00000000-0005-0000-0000-0000A8050000}"/>
    <cellStyle name="20% - Accent5 2 2 2 2 2" xfId="1468" xr:uid="{00000000-0005-0000-0000-0000A9050000}"/>
    <cellStyle name="20% - Accent5 2 2 2 3" xfId="1469" xr:uid="{00000000-0005-0000-0000-0000AA050000}"/>
    <cellStyle name="20% - Accent5 2 2 2 3 2" xfId="1470" xr:uid="{00000000-0005-0000-0000-0000AB050000}"/>
    <cellStyle name="20% - Accent5 2 2 2 4" xfId="1471" xr:uid="{00000000-0005-0000-0000-0000AC050000}"/>
    <cellStyle name="20% - Accent5 2 2 2 4 2" xfId="1472" xr:uid="{00000000-0005-0000-0000-0000AD050000}"/>
    <cellStyle name="20% - Accent5 2 2 2 5" xfId="1473" xr:uid="{00000000-0005-0000-0000-0000AE050000}"/>
    <cellStyle name="20% - Accent5 2 2 2 5 2" xfId="1474" xr:uid="{00000000-0005-0000-0000-0000AF050000}"/>
    <cellStyle name="20% - Accent5 2 2 2 6" xfId="1475" xr:uid="{00000000-0005-0000-0000-0000B0050000}"/>
    <cellStyle name="20% - Accent5 2 2 3" xfId="1476" xr:uid="{00000000-0005-0000-0000-0000B1050000}"/>
    <cellStyle name="20% - Accent5 2 2 3 2" xfId="1477" xr:uid="{00000000-0005-0000-0000-0000B2050000}"/>
    <cellStyle name="20% - Accent5 2 2 3 2 2" xfId="1478" xr:uid="{00000000-0005-0000-0000-0000B3050000}"/>
    <cellStyle name="20% - Accent5 2 2 3 3" xfId="1479" xr:uid="{00000000-0005-0000-0000-0000B4050000}"/>
    <cellStyle name="20% - Accent5 2 2 3 3 2" xfId="1480" xr:uid="{00000000-0005-0000-0000-0000B5050000}"/>
    <cellStyle name="20% - Accent5 2 2 3 4" xfId="1481" xr:uid="{00000000-0005-0000-0000-0000B6050000}"/>
    <cellStyle name="20% - Accent5 2 2 3 4 2" xfId="1482" xr:uid="{00000000-0005-0000-0000-0000B7050000}"/>
    <cellStyle name="20% - Accent5 2 2 3 5" xfId="1483" xr:uid="{00000000-0005-0000-0000-0000B8050000}"/>
    <cellStyle name="20% - Accent5 2 2 3 5 2" xfId="1484" xr:uid="{00000000-0005-0000-0000-0000B9050000}"/>
    <cellStyle name="20% - Accent5 2 2 3 6" xfId="1485" xr:uid="{00000000-0005-0000-0000-0000BA050000}"/>
    <cellStyle name="20% - Accent5 2 2 4" xfId="1486" xr:uid="{00000000-0005-0000-0000-0000BB050000}"/>
    <cellStyle name="20% - Accent5 2 2 4 2" xfId="1487" xr:uid="{00000000-0005-0000-0000-0000BC050000}"/>
    <cellStyle name="20% - Accent5 2 2 5" xfId="1488" xr:uid="{00000000-0005-0000-0000-0000BD050000}"/>
    <cellStyle name="20% - Accent5 2 2 5 2" xfId="1489" xr:uid="{00000000-0005-0000-0000-0000BE050000}"/>
    <cellStyle name="20% - Accent5 2 2 6" xfId="1490" xr:uid="{00000000-0005-0000-0000-0000BF050000}"/>
    <cellStyle name="20% - Accent5 2 2 6 2" xfId="1491" xr:uid="{00000000-0005-0000-0000-0000C0050000}"/>
    <cellStyle name="20% - Accent5 2 2 7" xfId="1492" xr:uid="{00000000-0005-0000-0000-0000C1050000}"/>
    <cellStyle name="20% - Accent5 2 2 7 2" xfId="1493" xr:uid="{00000000-0005-0000-0000-0000C2050000}"/>
    <cellStyle name="20% - Accent5 2 2 8" xfId="1494" xr:uid="{00000000-0005-0000-0000-0000C3050000}"/>
    <cellStyle name="20% - Accent5 2 2 8 2" xfId="1495" xr:uid="{00000000-0005-0000-0000-0000C4050000}"/>
    <cellStyle name="20% - Accent5 2 2 9" xfId="1496" xr:uid="{00000000-0005-0000-0000-0000C5050000}"/>
    <cellStyle name="20% - Accent5 2 2 9 2" xfId="1497" xr:uid="{00000000-0005-0000-0000-0000C6050000}"/>
    <cellStyle name="20% - Accent5 2 3" xfId="1498" xr:uid="{00000000-0005-0000-0000-0000C7050000}"/>
    <cellStyle name="20% - Accent5 2 3 2" xfId="1499" xr:uid="{00000000-0005-0000-0000-0000C8050000}"/>
    <cellStyle name="20% - Accent5 2 3 2 2" xfId="1500" xr:uid="{00000000-0005-0000-0000-0000C9050000}"/>
    <cellStyle name="20% - Accent5 2 3 3" xfId="1501" xr:uid="{00000000-0005-0000-0000-0000CA050000}"/>
    <cellStyle name="20% - Accent5 2 3 3 2" xfId="1502" xr:uid="{00000000-0005-0000-0000-0000CB050000}"/>
    <cellStyle name="20% - Accent5 2 3 4" xfId="1503" xr:uid="{00000000-0005-0000-0000-0000CC050000}"/>
    <cellStyle name="20% - Accent5 2 3 4 2" xfId="1504" xr:uid="{00000000-0005-0000-0000-0000CD050000}"/>
    <cellStyle name="20% - Accent5 2 3 5" xfId="1505" xr:uid="{00000000-0005-0000-0000-0000CE050000}"/>
    <cellStyle name="20% - Accent5 2 3 5 2" xfId="1506" xr:uid="{00000000-0005-0000-0000-0000CF050000}"/>
    <cellStyle name="20% - Accent5 2 3 6" xfId="1507" xr:uid="{00000000-0005-0000-0000-0000D0050000}"/>
    <cellStyle name="20% - Accent5 2 4" xfId="1508" xr:uid="{00000000-0005-0000-0000-0000D1050000}"/>
    <cellStyle name="20% - Accent5 2 4 2" xfId="1509" xr:uid="{00000000-0005-0000-0000-0000D2050000}"/>
    <cellStyle name="20% - Accent5 2 4 2 2" xfId="1510" xr:uid="{00000000-0005-0000-0000-0000D3050000}"/>
    <cellStyle name="20% - Accent5 2 4 3" xfId="1511" xr:uid="{00000000-0005-0000-0000-0000D4050000}"/>
    <cellStyle name="20% - Accent5 2 4 3 2" xfId="1512" xr:uid="{00000000-0005-0000-0000-0000D5050000}"/>
    <cellStyle name="20% - Accent5 2 4 4" xfId="1513" xr:uid="{00000000-0005-0000-0000-0000D6050000}"/>
    <cellStyle name="20% - Accent5 2 4 4 2" xfId="1514" xr:uid="{00000000-0005-0000-0000-0000D7050000}"/>
    <cellStyle name="20% - Accent5 2 4 5" xfId="1515" xr:uid="{00000000-0005-0000-0000-0000D8050000}"/>
    <cellStyle name="20% - Accent5 2 4 5 2" xfId="1516" xr:uid="{00000000-0005-0000-0000-0000D9050000}"/>
    <cellStyle name="20% - Accent5 2 4 6" xfId="1517" xr:uid="{00000000-0005-0000-0000-0000DA050000}"/>
    <cellStyle name="20% - Accent5 2 5" xfId="1518" xr:uid="{00000000-0005-0000-0000-0000DB050000}"/>
    <cellStyle name="20% - Accent5 2 5 2" xfId="1519" xr:uid="{00000000-0005-0000-0000-0000DC050000}"/>
    <cellStyle name="20% - Accent5 2 6" xfId="1520" xr:uid="{00000000-0005-0000-0000-0000DD050000}"/>
    <cellStyle name="20% - Accent5 2 6 2" xfId="1521" xr:uid="{00000000-0005-0000-0000-0000DE050000}"/>
    <cellStyle name="20% - Accent5 2 7" xfId="1522" xr:uid="{00000000-0005-0000-0000-0000DF050000}"/>
    <cellStyle name="20% - Accent5 2 7 2" xfId="1523" xr:uid="{00000000-0005-0000-0000-0000E0050000}"/>
    <cellStyle name="20% - Accent5 2 8" xfId="1524" xr:uid="{00000000-0005-0000-0000-0000E1050000}"/>
    <cellStyle name="20% - Accent5 2 8 2" xfId="1525" xr:uid="{00000000-0005-0000-0000-0000E2050000}"/>
    <cellStyle name="20% - Accent5 2 9" xfId="1526" xr:uid="{00000000-0005-0000-0000-0000E3050000}"/>
    <cellStyle name="20% - Accent5 2 9 2" xfId="1527" xr:uid="{00000000-0005-0000-0000-0000E4050000}"/>
    <cellStyle name="20% - Accent5 20" xfId="1528" xr:uid="{00000000-0005-0000-0000-0000E5050000}"/>
    <cellStyle name="20% - Accent5 20 2" xfId="1529" xr:uid="{00000000-0005-0000-0000-0000E6050000}"/>
    <cellStyle name="20% - Accent5 3" xfId="1530" xr:uid="{00000000-0005-0000-0000-0000E7050000}"/>
    <cellStyle name="20% - Accent5 3 10" xfId="1531" xr:uid="{00000000-0005-0000-0000-0000E8050000}"/>
    <cellStyle name="20% - Accent5 3 10 2" xfId="1532" xr:uid="{00000000-0005-0000-0000-0000E9050000}"/>
    <cellStyle name="20% - Accent5 3 11" xfId="1533" xr:uid="{00000000-0005-0000-0000-0000EA050000}"/>
    <cellStyle name="20% - Accent5 3 2" xfId="1534" xr:uid="{00000000-0005-0000-0000-0000EB050000}"/>
    <cellStyle name="20% - Accent5 3 2 10" xfId="1535" xr:uid="{00000000-0005-0000-0000-0000EC050000}"/>
    <cellStyle name="20% - Accent5 3 2 2" xfId="1536" xr:uid="{00000000-0005-0000-0000-0000ED050000}"/>
    <cellStyle name="20% - Accent5 3 2 2 2" xfId="1537" xr:uid="{00000000-0005-0000-0000-0000EE050000}"/>
    <cellStyle name="20% - Accent5 3 2 2 2 2" xfId="1538" xr:uid="{00000000-0005-0000-0000-0000EF050000}"/>
    <cellStyle name="20% - Accent5 3 2 2 3" xfId="1539" xr:uid="{00000000-0005-0000-0000-0000F0050000}"/>
    <cellStyle name="20% - Accent5 3 2 2 3 2" xfId="1540" xr:uid="{00000000-0005-0000-0000-0000F1050000}"/>
    <cellStyle name="20% - Accent5 3 2 2 4" xfId="1541" xr:uid="{00000000-0005-0000-0000-0000F2050000}"/>
    <cellStyle name="20% - Accent5 3 2 2 4 2" xfId="1542" xr:uid="{00000000-0005-0000-0000-0000F3050000}"/>
    <cellStyle name="20% - Accent5 3 2 2 5" xfId="1543" xr:uid="{00000000-0005-0000-0000-0000F4050000}"/>
    <cellStyle name="20% - Accent5 3 2 2 5 2" xfId="1544" xr:uid="{00000000-0005-0000-0000-0000F5050000}"/>
    <cellStyle name="20% - Accent5 3 2 2 6" xfId="1545" xr:uid="{00000000-0005-0000-0000-0000F6050000}"/>
    <cellStyle name="20% - Accent5 3 2 3" xfId="1546" xr:uid="{00000000-0005-0000-0000-0000F7050000}"/>
    <cellStyle name="20% - Accent5 3 2 3 2" xfId="1547" xr:uid="{00000000-0005-0000-0000-0000F8050000}"/>
    <cellStyle name="20% - Accent5 3 2 3 2 2" xfId="1548" xr:uid="{00000000-0005-0000-0000-0000F9050000}"/>
    <cellStyle name="20% - Accent5 3 2 3 3" xfId="1549" xr:uid="{00000000-0005-0000-0000-0000FA050000}"/>
    <cellStyle name="20% - Accent5 3 2 3 3 2" xfId="1550" xr:uid="{00000000-0005-0000-0000-0000FB050000}"/>
    <cellStyle name="20% - Accent5 3 2 3 4" xfId="1551" xr:uid="{00000000-0005-0000-0000-0000FC050000}"/>
    <cellStyle name="20% - Accent5 3 2 3 4 2" xfId="1552" xr:uid="{00000000-0005-0000-0000-0000FD050000}"/>
    <cellStyle name="20% - Accent5 3 2 3 5" xfId="1553" xr:uid="{00000000-0005-0000-0000-0000FE050000}"/>
    <cellStyle name="20% - Accent5 3 2 3 5 2" xfId="1554" xr:uid="{00000000-0005-0000-0000-0000FF050000}"/>
    <cellStyle name="20% - Accent5 3 2 3 6" xfId="1555" xr:uid="{00000000-0005-0000-0000-000000060000}"/>
    <cellStyle name="20% - Accent5 3 2 4" xfId="1556" xr:uid="{00000000-0005-0000-0000-000001060000}"/>
    <cellStyle name="20% - Accent5 3 2 4 2" xfId="1557" xr:uid="{00000000-0005-0000-0000-000002060000}"/>
    <cellStyle name="20% - Accent5 3 2 5" xfId="1558" xr:uid="{00000000-0005-0000-0000-000003060000}"/>
    <cellStyle name="20% - Accent5 3 2 5 2" xfId="1559" xr:uid="{00000000-0005-0000-0000-000004060000}"/>
    <cellStyle name="20% - Accent5 3 2 6" xfId="1560" xr:uid="{00000000-0005-0000-0000-000005060000}"/>
    <cellStyle name="20% - Accent5 3 2 6 2" xfId="1561" xr:uid="{00000000-0005-0000-0000-000006060000}"/>
    <cellStyle name="20% - Accent5 3 2 7" xfId="1562" xr:uid="{00000000-0005-0000-0000-000007060000}"/>
    <cellStyle name="20% - Accent5 3 2 7 2" xfId="1563" xr:uid="{00000000-0005-0000-0000-000008060000}"/>
    <cellStyle name="20% - Accent5 3 2 8" xfId="1564" xr:uid="{00000000-0005-0000-0000-000009060000}"/>
    <cellStyle name="20% - Accent5 3 2 8 2" xfId="1565" xr:uid="{00000000-0005-0000-0000-00000A060000}"/>
    <cellStyle name="20% - Accent5 3 2 9" xfId="1566" xr:uid="{00000000-0005-0000-0000-00000B060000}"/>
    <cellStyle name="20% - Accent5 3 2 9 2" xfId="1567" xr:uid="{00000000-0005-0000-0000-00000C060000}"/>
    <cellStyle name="20% - Accent5 3 3" xfId="1568" xr:uid="{00000000-0005-0000-0000-00000D060000}"/>
    <cellStyle name="20% - Accent5 3 3 2" xfId="1569" xr:uid="{00000000-0005-0000-0000-00000E060000}"/>
    <cellStyle name="20% - Accent5 3 3 2 2" xfId="1570" xr:uid="{00000000-0005-0000-0000-00000F060000}"/>
    <cellStyle name="20% - Accent5 3 3 3" xfId="1571" xr:uid="{00000000-0005-0000-0000-000010060000}"/>
    <cellStyle name="20% - Accent5 3 3 3 2" xfId="1572" xr:uid="{00000000-0005-0000-0000-000011060000}"/>
    <cellStyle name="20% - Accent5 3 3 4" xfId="1573" xr:uid="{00000000-0005-0000-0000-000012060000}"/>
    <cellStyle name="20% - Accent5 3 3 4 2" xfId="1574" xr:uid="{00000000-0005-0000-0000-000013060000}"/>
    <cellStyle name="20% - Accent5 3 3 5" xfId="1575" xr:uid="{00000000-0005-0000-0000-000014060000}"/>
    <cellStyle name="20% - Accent5 3 3 5 2" xfId="1576" xr:uid="{00000000-0005-0000-0000-000015060000}"/>
    <cellStyle name="20% - Accent5 3 3 6" xfId="1577" xr:uid="{00000000-0005-0000-0000-000016060000}"/>
    <cellStyle name="20% - Accent5 3 4" xfId="1578" xr:uid="{00000000-0005-0000-0000-000017060000}"/>
    <cellStyle name="20% - Accent5 3 4 2" xfId="1579" xr:uid="{00000000-0005-0000-0000-000018060000}"/>
    <cellStyle name="20% - Accent5 3 4 2 2" xfId="1580" xr:uid="{00000000-0005-0000-0000-000019060000}"/>
    <cellStyle name="20% - Accent5 3 4 3" xfId="1581" xr:uid="{00000000-0005-0000-0000-00001A060000}"/>
    <cellStyle name="20% - Accent5 3 4 3 2" xfId="1582" xr:uid="{00000000-0005-0000-0000-00001B060000}"/>
    <cellStyle name="20% - Accent5 3 4 4" xfId="1583" xr:uid="{00000000-0005-0000-0000-00001C060000}"/>
    <cellStyle name="20% - Accent5 3 4 4 2" xfId="1584" xr:uid="{00000000-0005-0000-0000-00001D060000}"/>
    <cellStyle name="20% - Accent5 3 4 5" xfId="1585" xr:uid="{00000000-0005-0000-0000-00001E060000}"/>
    <cellStyle name="20% - Accent5 3 4 5 2" xfId="1586" xr:uid="{00000000-0005-0000-0000-00001F060000}"/>
    <cellStyle name="20% - Accent5 3 4 6" xfId="1587" xr:uid="{00000000-0005-0000-0000-000020060000}"/>
    <cellStyle name="20% - Accent5 3 5" xfId="1588" xr:uid="{00000000-0005-0000-0000-000021060000}"/>
    <cellStyle name="20% - Accent5 3 5 2" xfId="1589" xr:uid="{00000000-0005-0000-0000-000022060000}"/>
    <cellStyle name="20% - Accent5 3 6" xfId="1590" xr:uid="{00000000-0005-0000-0000-000023060000}"/>
    <cellStyle name="20% - Accent5 3 6 2" xfId="1591" xr:uid="{00000000-0005-0000-0000-000024060000}"/>
    <cellStyle name="20% - Accent5 3 7" xfId="1592" xr:uid="{00000000-0005-0000-0000-000025060000}"/>
    <cellStyle name="20% - Accent5 3 7 2" xfId="1593" xr:uid="{00000000-0005-0000-0000-000026060000}"/>
    <cellStyle name="20% - Accent5 3 8" xfId="1594" xr:uid="{00000000-0005-0000-0000-000027060000}"/>
    <cellStyle name="20% - Accent5 3 8 2" xfId="1595" xr:uid="{00000000-0005-0000-0000-000028060000}"/>
    <cellStyle name="20% - Accent5 3 9" xfId="1596" xr:uid="{00000000-0005-0000-0000-000029060000}"/>
    <cellStyle name="20% - Accent5 3 9 2" xfId="1597" xr:uid="{00000000-0005-0000-0000-00002A060000}"/>
    <cellStyle name="20% - Accent5 4" xfId="1598" xr:uid="{00000000-0005-0000-0000-00002B060000}"/>
    <cellStyle name="20% - Accent5 4 10" xfId="1599" xr:uid="{00000000-0005-0000-0000-00002C060000}"/>
    <cellStyle name="20% - Accent5 4 10 2" xfId="1600" xr:uid="{00000000-0005-0000-0000-00002D060000}"/>
    <cellStyle name="20% - Accent5 4 11" xfId="1601" xr:uid="{00000000-0005-0000-0000-00002E060000}"/>
    <cellStyle name="20% - Accent5 4 2" xfId="1602" xr:uid="{00000000-0005-0000-0000-00002F060000}"/>
    <cellStyle name="20% - Accent5 4 2 10" xfId="1603" xr:uid="{00000000-0005-0000-0000-000030060000}"/>
    <cellStyle name="20% - Accent5 4 2 2" xfId="1604" xr:uid="{00000000-0005-0000-0000-000031060000}"/>
    <cellStyle name="20% - Accent5 4 2 2 2" xfId="1605" xr:uid="{00000000-0005-0000-0000-000032060000}"/>
    <cellStyle name="20% - Accent5 4 2 2 2 2" xfId="1606" xr:uid="{00000000-0005-0000-0000-000033060000}"/>
    <cellStyle name="20% - Accent5 4 2 2 3" xfId="1607" xr:uid="{00000000-0005-0000-0000-000034060000}"/>
    <cellStyle name="20% - Accent5 4 2 2 3 2" xfId="1608" xr:uid="{00000000-0005-0000-0000-000035060000}"/>
    <cellStyle name="20% - Accent5 4 2 2 4" xfId="1609" xr:uid="{00000000-0005-0000-0000-000036060000}"/>
    <cellStyle name="20% - Accent5 4 2 2 4 2" xfId="1610" xr:uid="{00000000-0005-0000-0000-000037060000}"/>
    <cellStyle name="20% - Accent5 4 2 2 5" xfId="1611" xr:uid="{00000000-0005-0000-0000-000038060000}"/>
    <cellStyle name="20% - Accent5 4 2 2 5 2" xfId="1612" xr:uid="{00000000-0005-0000-0000-000039060000}"/>
    <cellStyle name="20% - Accent5 4 2 2 6" xfId="1613" xr:uid="{00000000-0005-0000-0000-00003A060000}"/>
    <cellStyle name="20% - Accent5 4 2 3" xfId="1614" xr:uid="{00000000-0005-0000-0000-00003B060000}"/>
    <cellStyle name="20% - Accent5 4 2 3 2" xfId="1615" xr:uid="{00000000-0005-0000-0000-00003C060000}"/>
    <cellStyle name="20% - Accent5 4 2 3 2 2" xfId="1616" xr:uid="{00000000-0005-0000-0000-00003D060000}"/>
    <cellStyle name="20% - Accent5 4 2 3 3" xfId="1617" xr:uid="{00000000-0005-0000-0000-00003E060000}"/>
    <cellStyle name="20% - Accent5 4 2 3 3 2" xfId="1618" xr:uid="{00000000-0005-0000-0000-00003F060000}"/>
    <cellStyle name="20% - Accent5 4 2 3 4" xfId="1619" xr:uid="{00000000-0005-0000-0000-000040060000}"/>
    <cellStyle name="20% - Accent5 4 2 3 4 2" xfId="1620" xr:uid="{00000000-0005-0000-0000-000041060000}"/>
    <cellStyle name="20% - Accent5 4 2 3 5" xfId="1621" xr:uid="{00000000-0005-0000-0000-000042060000}"/>
    <cellStyle name="20% - Accent5 4 2 3 5 2" xfId="1622" xr:uid="{00000000-0005-0000-0000-000043060000}"/>
    <cellStyle name="20% - Accent5 4 2 3 6" xfId="1623" xr:uid="{00000000-0005-0000-0000-000044060000}"/>
    <cellStyle name="20% - Accent5 4 2 4" xfId="1624" xr:uid="{00000000-0005-0000-0000-000045060000}"/>
    <cellStyle name="20% - Accent5 4 2 4 2" xfId="1625" xr:uid="{00000000-0005-0000-0000-000046060000}"/>
    <cellStyle name="20% - Accent5 4 2 5" xfId="1626" xr:uid="{00000000-0005-0000-0000-000047060000}"/>
    <cellStyle name="20% - Accent5 4 2 5 2" xfId="1627" xr:uid="{00000000-0005-0000-0000-000048060000}"/>
    <cellStyle name="20% - Accent5 4 2 6" xfId="1628" xr:uid="{00000000-0005-0000-0000-000049060000}"/>
    <cellStyle name="20% - Accent5 4 2 6 2" xfId="1629" xr:uid="{00000000-0005-0000-0000-00004A060000}"/>
    <cellStyle name="20% - Accent5 4 2 7" xfId="1630" xr:uid="{00000000-0005-0000-0000-00004B060000}"/>
    <cellStyle name="20% - Accent5 4 2 7 2" xfId="1631" xr:uid="{00000000-0005-0000-0000-00004C060000}"/>
    <cellStyle name="20% - Accent5 4 2 8" xfId="1632" xr:uid="{00000000-0005-0000-0000-00004D060000}"/>
    <cellStyle name="20% - Accent5 4 2 8 2" xfId="1633" xr:uid="{00000000-0005-0000-0000-00004E060000}"/>
    <cellStyle name="20% - Accent5 4 2 9" xfId="1634" xr:uid="{00000000-0005-0000-0000-00004F060000}"/>
    <cellStyle name="20% - Accent5 4 2 9 2" xfId="1635" xr:uid="{00000000-0005-0000-0000-000050060000}"/>
    <cellStyle name="20% - Accent5 4 3" xfId="1636" xr:uid="{00000000-0005-0000-0000-000051060000}"/>
    <cellStyle name="20% - Accent5 4 3 2" xfId="1637" xr:uid="{00000000-0005-0000-0000-000052060000}"/>
    <cellStyle name="20% - Accent5 4 3 2 2" xfId="1638" xr:uid="{00000000-0005-0000-0000-000053060000}"/>
    <cellStyle name="20% - Accent5 4 3 3" xfId="1639" xr:uid="{00000000-0005-0000-0000-000054060000}"/>
    <cellStyle name="20% - Accent5 4 3 3 2" xfId="1640" xr:uid="{00000000-0005-0000-0000-000055060000}"/>
    <cellStyle name="20% - Accent5 4 3 4" xfId="1641" xr:uid="{00000000-0005-0000-0000-000056060000}"/>
    <cellStyle name="20% - Accent5 4 3 4 2" xfId="1642" xr:uid="{00000000-0005-0000-0000-000057060000}"/>
    <cellStyle name="20% - Accent5 4 3 5" xfId="1643" xr:uid="{00000000-0005-0000-0000-000058060000}"/>
    <cellStyle name="20% - Accent5 4 3 5 2" xfId="1644" xr:uid="{00000000-0005-0000-0000-000059060000}"/>
    <cellStyle name="20% - Accent5 4 3 6" xfId="1645" xr:uid="{00000000-0005-0000-0000-00005A060000}"/>
    <cellStyle name="20% - Accent5 4 4" xfId="1646" xr:uid="{00000000-0005-0000-0000-00005B060000}"/>
    <cellStyle name="20% - Accent5 4 4 2" xfId="1647" xr:uid="{00000000-0005-0000-0000-00005C060000}"/>
    <cellStyle name="20% - Accent5 4 4 2 2" xfId="1648" xr:uid="{00000000-0005-0000-0000-00005D060000}"/>
    <cellStyle name="20% - Accent5 4 4 3" xfId="1649" xr:uid="{00000000-0005-0000-0000-00005E060000}"/>
    <cellStyle name="20% - Accent5 4 4 3 2" xfId="1650" xr:uid="{00000000-0005-0000-0000-00005F060000}"/>
    <cellStyle name="20% - Accent5 4 4 4" xfId="1651" xr:uid="{00000000-0005-0000-0000-000060060000}"/>
    <cellStyle name="20% - Accent5 4 4 4 2" xfId="1652" xr:uid="{00000000-0005-0000-0000-000061060000}"/>
    <cellStyle name="20% - Accent5 4 4 5" xfId="1653" xr:uid="{00000000-0005-0000-0000-000062060000}"/>
    <cellStyle name="20% - Accent5 4 4 5 2" xfId="1654" xr:uid="{00000000-0005-0000-0000-000063060000}"/>
    <cellStyle name="20% - Accent5 4 4 6" xfId="1655" xr:uid="{00000000-0005-0000-0000-000064060000}"/>
    <cellStyle name="20% - Accent5 4 5" xfId="1656" xr:uid="{00000000-0005-0000-0000-000065060000}"/>
    <cellStyle name="20% - Accent5 4 5 2" xfId="1657" xr:uid="{00000000-0005-0000-0000-000066060000}"/>
    <cellStyle name="20% - Accent5 4 6" xfId="1658" xr:uid="{00000000-0005-0000-0000-000067060000}"/>
    <cellStyle name="20% - Accent5 4 6 2" xfId="1659" xr:uid="{00000000-0005-0000-0000-000068060000}"/>
    <cellStyle name="20% - Accent5 4 7" xfId="1660" xr:uid="{00000000-0005-0000-0000-000069060000}"/>
    <cellStyle name="20% - Accent5 4 7 2" xfId="1661" xr:uid="{00000000-0005-0000-0000-00006A060000}"/>
    <cellStyle name="20% - Accent5 4 8" xfId="1662" xr:uid="{00000000-0005-0000-0000-00006B060000}"/>
    <cellStyle name="20% - Accent5 4 8 2" xfId="1663" xr:uid="{00000000-0005-0000-0000-00006C060000}"/>
    <cellStyle name="20% - Accent5 4 9" xfId="1664" xr:uid="{00000000-0005-0000-0000-00006D060000}"/>
    <cellStyle name="20% - Accent5 4 9 2" xfId="1665" xr:uid="{00000000-0005-0000-0000-00006E060000}"/>
    <cellStyle name="20% - Accent5 5" xfId="1666" xr:uid="{00000000-0005-0000-0000-00006F060000}"/>
    <cellStyle name="20% - Accent5 5 10" xfId="1667" xr:uid="{00000000-0005-0000-0000-000070060000}"/>
    <cellStyle name="20% - Accent5 5 2" xfId="1668" xr:uid="{00000000-0005-0000-0000-000071060000}"/>
    <cellStyle name="20% - Accent5 5 2 2" xfId="1669" xr:uid="{00000000-0005-0000-0000-000072060000}"/>
    <cellStyle name="20% - Accent5 5 2 2 2" xfId="1670" xr:uid="{00000000-0005-0000-0000-000073060000}"/>
    <cellStyle name="20% - Accent5 5 2 3" xfId="1671" xr:uid="{00000000-0005-0000-0000-000074060000}"/>
    <cellStyle name="20% - Accent5 5 2 3 2" xfId="1672" xr:uid="{00000000-0005-0000-0000-000075060000}"/>
    <cellStyle name="20% - Accent5 5 2 4" xfId="1673" xr:uid="{00000000-0005-0000-0000-000076060000}"/>
    <cellStyle name="20% - Accent5 5 2 4 2" xfId="1674" xr:uid="{00000000-0005-0000-0000-000077060000}"/>
    <cellStyle name="20% - Accent5 5 2 5" xfId="1675" xr:uid="{00000000-0005-0000-0000-000078060000}"/>
    <cellStyle name="20% - Accent5 5 2 5 2" xfId="1676" xr:uid="{00000000-0005-0000-0000-000079060000}"/>
    <cellStyle name="20% - Accent5 5 2 6" xfId="1677" xr:uid="{00000000-0005-0000-0000-00007A060000}"/>
    <cellStyle name="20% - Accent5 5 3" xfId="1678" xr:uid="{00000000-0005-0000-0000-00007B060000}"/>
    <cellStyle name="20% - Accent5 5 3 2" xfId="1679" xr:uid="{00000000-0005-0000-0000-00007C060000}"/>
    <cellStyle name="20% - Accent5 5 3 2 2" xfId="1680" xr:uid="{00000000-0005-0000-0000-00007D060000}"/>
    <cellStyle name="20% - Accent5 5 3 3" xfId="1681" xr:uid="{00000000-0005-0000-0000-00007E060000}"/>
    <cellStyle name="20% - Accent5 5 3 3 2" xfId="1682" xr:uid="{00000000-0005-0000-0000-00007F060000}"/>
    <cellStyle name="20% - Accent5 5 3 4" xfId="1683" xr:uid="{00000000-0005-0000-0000-000080060000}"/>
    <cellStyle name="20% - Accent5 5 3 4 2" xfId="1684" xr:uid="{00000000-0005-0000-0000-000081060000}"/>
    <cellStyle name="20% - Accent5 5 3 5" xfId="1685" xr:uid="{00000000-0005-0000-0000-000082060000}"/>
    <cellStyle name="20% - Accent5 5 3 5 2" xfId="1686" xr:uid="{00000000-0005-0000-0000-000083060000}"/>
    <cellStyle name="20% - Accent5 5 3 6" xfId="1687" xr:uid="{00000000-0005-0000-0000-000084060000}"/>
    <cellStyle name="20% - Accent5 5 4" xfId="1688" xr:uid="{00000000-0005-0000-0000-000085060000}"/>
    <cellStyle name="20% - Accent5 5 4 2" xfId="1689" xr:uid="{00000000-0005-0000-0000-000086060000}"/>
    <cellStyle name="20% - Accent5 5 5" xfId="1690" xr:uid="{00000000-0005-0000-0000-000087060000}"/>
    <cellStyle name="20% - Accent5 5 5 2" xfId="1691" xr:uid="{00000000-0005-0000-0000-000088060000}"/>
    <cellStyle name="20% - Accent5 5 6" xfId="1692" xr:uid="{00000000-0005-0000-0000-000089060000}"/>
    <cellStyle name="20% - Accent5 5 6 2" xfId="1693" xr:uid="{00000000-0005-0000-0000-00008A060000}"/>
    <cellStyle name="20% - Accent5 5 7" xfId="1694" xr:uid="{00000000-0005-0000-0000-00008B060000}"/>
    <cellStyle name="20% - Accent5 5 7 2" xfId="1695" xr:uid="{00000000-0005-0000-0000-00008C060000}"/>
    <cellStyle name="20% - Accent5 5 8" xfId="1696" xr:uid="{00000000-0005-0000-0000-00008D060000}"/>
    <cellStyle name="20% - Accent5 5 8 2" xfId="1697" xr:uid="{00000000-0005-0000-0000-00008E060000}"/>
    <cellStyle name="20% - Accent5 5 9" xfId="1698" xr:uid="{00000000-0005-0000-0000-00008F060000}"/>
    <cellStyle name="20% - Accent5 5 9 2" xfId="1699" xr:uid="{00000000-0005-0000-0000-000090060000}"/>
    <cellStyle name="20% - Accent5 6" xfId="1700" xr:uid="{00000000-0005-0000-0000-000091060000}"/>
    <cellStyle name="20% - Accent5 6 10" xfId="1701" xr:uid="{00000000-0005-0000-0000-000092060000}"/>
    <cellStyle name="20% - Accent5 6 2" xfId="1702" xr:uid="{00000000-0005-0000-0000-000093060000}"/>
    <cellStyle name="20% - Accent5 6 2 2" xfId="1703" xr:uid="{00000000-0005-0000-0000-000094060000}"/>
    <cellStyle name="20% - Accent5 6 2 2 2" xfId="1704" xr:uid="{00000000-0005-0000-0000-000095060000}"/>
    <cellStyle name="20% - Accent5 6 2 3" xfId="1705" xr:uid="{00000000-0005-0000-0000-000096060000}"/>
    <cellStyle name="20% - Accent5 6 2 3 2" xfId="1706" xr:uid="{00000000-0005-0000-0000-000097060000}"/>
    <cellStyle name="20% - Accent5 6 2 4" xfId="1707" xr:uid="{00000000-0005-0000-0000-000098060000}"/>
    <cellStyle name="20% - Accent5 6 2 4 2" xfId="1708" xr:uid="{00000000-0005-0000-0000-000099060000}"/>
    <cellStyle name="20% - Accent5 6 2 5" xfId="1709" xr:uid="{00000000-0005-0000-0000-00009A060000}"/>
    <cellStyle name="20% - Accent5 6 2 5 2" xfId="1710" xr:uid="{00000000-0005-0000-0000-00009B060000}"/>
    <cellStyle name="20% - Accent5 6 2 6" xfId="1711" xr:uid="{00000000-0005-0000-0000-00009C060000}"/>
    <cellStyle name="20% - Accent5 6 3" xfId="1712" xr:uid="{00000000-0005-0000-0000-00009D060000}"/>
    <cellStyle name="20% - Accent5 6 3 2" xfId="1713" xr:uid="{00000000-0005-0000-0000-00009E060000}"/>
    <cellStyle name="20% - Accent5 6 3 2 2" xfId="1714" xr:uid="{00000000-0005-0000-0000-00009F060000}"/>
    <cellStyle name="20% - Accent5 6 3 3" xfId="1715" xr:uid="{00000000-0005-0000-0000-0000A0060000}"/>
    <cellStyle name="20% - Accent5 6 3 3 2" xfId="1716" xr:uid="{00000000-0005-0000-0000-0000A1060000}"/>
    <cellStyle name="20% - Accent5 6 3 4" xfId="1717" xr:uid="{00000000-0005-0000-0000-0000A2060000}"/>
    <cellStyle name="20% - Accent5 6 3 4 2" xfId="1718" xr:uid="{00000000-0005-0000-0000-0000A3060000}"/>
    <cellStyle name="20% - Accent5 6 3 5" xfId="1719" xr:uid="{00000000-0005-0000-0000-0000A4060000}"/>
    <cellStyle name="20% - Accent5 6 3 5 2" xfId="1720" xr:uid="{00000000-0005-0000-0000-0000A5060000}"/>
    <cellStyle name="20% - Accent5 6 3 6" xfId="1721" xr:uid="{00000000-0005-0000-0000-0000A6060000}"/>
    <cellStyle name="20% - Accent5 6 4" xfId="1722" xr:uid="{00000000-0005-0000-0000-0000A7060000}"/>
    <cellStyle name="20% - Accent5 6 4 2" xfId="1723" xr:uid="{00000000-0005-0000-0000-0000A8060000}"/>
    <cellStyle name="20% - Accent5 6 5" xfId="1724" xr:uid="{00000000-0005-0000-0000-0000A9060000}"/>
    <cellStyle name="20% - Accent5 6 5 2" xfId="1725" xr:uid="{00000000-0005-0000-0000-0000AA060000}"/>
    <cellStyle name="20% - Accent5 6 6" xfId="1726" xr:uid="{00000000-0005-0000-0000-0000AB060000}"/>
    <cellStyle name="20% - Accent5 6 6 2" xfId="1727" xr:uid="{00000000-0005-0000-0000-0000AC060000}"/>
    <cellStyle name="20% - Accent5 6 7" xfId="1728" xr:uid="{00000000-0005-0000-0000-0000AD060000}"/>
    <cellStyle name="20% - Accent5 6 7 2" xfId="1729" xr:uid="{00000000-0005-0000-0000-0000AE060000}"/>
    <cellStyle name="20% - Accent5 6 8" xfId="1730" xr:uid="{00000000-0005-0000-0000-0000AF060000}"/>
    <cellStyle name="20% - Accent5 6 8 2" xfId="1731" xr:uid="{00000000-0005-0000-0000-0000B0060000}"/>
    <cellStyle name="20% - Accent5 6 9" xfId="1732" xr:uid="{00000000-0005-0000-0000-0000B1060000}"/>
    <cellStyle name="20% - Accent5 6 9 2" xfId="1733" xr:uid="{00000000-0005-0000-0000-0000B2060000}"/>
    <cellStyle name="20% - Accent5 7" xfId="1734" xr:uid="{00000000-0005-0000-0000-0000B3060000}"/>
    <cellStyle name="20% - Accent5 7 10" xfId="1735" xr:uid="{00000000-0005-0000-0000-0000B4060000}"/>
    <cellStyle name="20% - Accent5 7 2" xfId="1736" xr:uid="{00000000-0005-0000-0000-0000B5060000}"/>
    <cellStyle name="20% - Accent5 7 2 2" xfId="1737" xr:uid="{00000000-0005-0000-0000-0000B6060000}"/>
    <cellStyle name="20% - Accent5 7 2 2 2" xfId="1738" xr:uid="{00000000-0005-0000-0000-0000B7060000}"/>
    <cellStyle name="20% - Accent5 7 2 3" xfId="1739" xr:uid="{00000000-0005-0000-0000-0000B8060000}"/>
    <cellStyle name="20% - Accent5 7 2 3 2" xfId="1740" xr:uid="{00000000-0005-0000-0000-0000B9060000}"/>
    <cellStyle name="20% - Accent5 7 2 4" xfId="1741" xr:uid="{00000000-0005-0000-0000-0000BA060000}"/>
    <cellStyle name="20% - Accent5 7 2 4 2" xfId="1742" xr:uid="{00000000-0005-0000-0000-0000BB060000}"/>
    <cellStyle name="20% - Accent5 7 2 5" xfId="1743" xr:uid="{00000000-0005-0000-0000-0000BC060000}"/>
    <cellStyle name="20% - Accent5 7 2 5 2" xfId="1744" xr:uid="{00000000-0005-0000-0000-0000BD060000}"/>
    <cellStyle name="20% - Accent5 7 2 6" xfId="1745" xr:uid="{00000000-0005-0000-0000-0000BE060000}"/>
    <cellStyle name="20% - Accent5 7 3" xfId="1746" xr:uid="{00000000-0005-0000-0000-0000BF060000}"/>
    <cellStyle name="20% - Accent5 7 3 2" xfId="1747" xr:uid="{00000000-0005-0000-0000-0000C0060000}"/>
    <cellStyle name="20% - Accent5 7 3 2 2" xfId="1748" xr:uid="{00000000-0005-0000-0000-0000C1060000}"/>
    <cellStyle name="20% - Accent5 7 3 3" xfId="1749" xr:uid="{00000000-0005-0000-0000-0000C2060000}"/>
    <cellStyle name="20% - Accent5 7 3 3 2" xfId="1750" xr:uid="{00000000-0005-0000-0000-0000C3060000}"/>
    <cellStyle name="20% - Accent5 7 3 4" xfId="1751" xr:uid="{00000000-0005-0000-0000-0000C4060000}"/>
    <cellStyle name="20% - Accent5 7 3 4 2" xfId="1752" xr:uid="{00000000-0005-0000-0000-0000C5060000}"/>
    <cellStyle name="20% - Accent5 7 3 5" xfId="1753" xr:uid="{00000000-0005-0000-0000-0000C6060000}"/>
    <cellStyle name="20% - Accent5 7 3 5 2" xfId="1754" xr:uid="{00000000-0005-0000-0000-0000C7060000}"/>
    <cellStyle name="20% - Accent5 7 3 6" xfId="1755" xr:uid="{00000000-0005-0000-0000-0000C8060000}"/>
    <cellStyle name="20% - Accent5 7 4" xfId="1756" xr:uid="{00000000-0005-0000-0000-0000C9060000}"/>
    <cellStyle name="20% - Accent5 7 4 2" xfId="1757" xr:uid="{00000000-0005-0000-0000-0000CA060000}"/>
    <cellStyle name="20% - Accent5 7 5" xfId="1758" xr:uid="{00000000-0005-0000-0000-0000CB060000}"/>
    <cellStyle name="20% - Accent5 7 5 2" xfId="1759" xr:uid="{00000000-0005-0000-0000-0000CC060000}"/>
    <cellStyle name="20% - Accent5 7 6" xfId="1760" xr:uid="{00000000-0005-0000-0000-0000CD060000}"/>
    <cellStyle name="20% - Accent5 7 6 2" xfId="1761" xr:uid="{00000000-0005-0000-0000-0000CE060000}"/>
    <cellStyle name="20% - Accent5 7 7" xfId="1762" xr:uid="{00000000-0005-0000-0000-0000CF060000}"/>
    <cellStyle name="20% - Accent5 7 7 2" xfId="1763" xr:uid="{00000000-0005-0000-0000-0000D0060000}"/>
    <cellStyle name="20% - Accent5 7 8" xfId="1764" xr:uid="{00000000-0005-0000-0000-0000D1060000}"/>
    <cellStyle name="20% - Accent5 7 8 2" xfId="1765" xr:uid="{00000000-0005-0000-0000-0000D2060000}"/>
    <cellStyle name="20% - Accent5 7 9" xfId="1766" xr:uid="{00000000-0005-0000-0000-0000D3060000}"/>
    <cellStyle name="20% - Accent5 7 9 2" xfId="1767" xr:uid="{00000000-0005-0000-0000-0000D4060000}"/>
    <cellStyle name="20% - Accent5 8" xfId="1768" xr:uid="{00000000-0005-0000-0000-0000D5060000}"/>
    <cellStyle name="20% - Accent5 8 2" xfId="1769" xr:uid="{00000000-0005-0000-0000-0000D6060000}"/>
    <cellStyle name="20% - Accent5 8 2 2" xfId="1770" xr:uid="{00000000-0005-0000-0000-0000D7060000}"/>
    <cellStyle name="20% - Accent5 8 3" xfId="1771" xr:uid="{00000000-0005-0000-0000-0000D8060000}"/>
    <cellStyle name="20% - Accent5 8 3 2" xfId="1772" xr:uid="{00000000-0005-0000-0000-0000D9060000}"/>
    <cellStyle name="20% - Accent5 8 4" xfId="1773" xr:uid="{00000000-0005-0000-0000-0000DA060000}"/>
    <cellStyle name="20% - Accent5 8 4 2" xfId="1774" xr:uid="{00000000-0005-0000-0000-0000DB060000}"/>
    <cellStyle name="20% - Accent5 8 5" xfId="1775" xr:uid="{00000000-0005-0000-0000-0000DC060000}"/>
    <cellStyle name="20% - Accent5 8 5 2" xfId="1776" xr:uid="{00000000-0005-0000-0000-0000DD060000}"/>
    <cellStyle name="20% - Accent5 8 6" xfId="1777" xr:uid="{00000000-0005-0000-0000-0000DE060000}"/>
    <cellStyle name="20% - Accent5 9" xfId="1778" xr:uid="{00000000-0005-0000-0000-0000DF060000}"/>
    <cellStyle name="20% - Accent5 9 2" xfId="1779" xr:uid="{00000000-0005-0000-0000-0000E0060000}"/>
    <cellStyle name="20% - Accent5 9 2 2" xfId="1780" xr:uid="{00000000-0005-0000-0000-0000E1060000}"/>
    <cellStyle name="20% - Accent5 9 3" xfId="1781" xr:uid="{00000000-0005-0000-0000-0000E2060000}"/>
    <cellStyle name="20% - Accent5 9 3 2" xfId="1782" xr:uid="{00000000-0005-0000-0000-0000E3060000}"/>
    <cellStyle name="20% - Accent5 9 4" xfId="1783" xr:uid="{00000000-0005-0000-0000-0000E4060000}"/>
    <cellStyle name="20% - Accent5 9 4 2" xfId="1784" xr:uid="{00000000-0005-0000-0000-0000E5060000}"/>
    <cellStyle name="20% - Accent5 9 5" xfId="1785" xr:uid="{00000000-0005-0000-0000-0000E6060000}"/>
    <cellStyle name="20% - Accent5 9 5 2" xfId="1786" xr:uid="{00000000-0005-0000-0000-0000E7060000}"/>
    <cellStyle name="20% - Accent5 9 6" xfId="1787" xr:uid="{00000000-0005-0000-0000-0000E8060000}"/>
    <cellStyle name="20% - Accent6 10" xfId="1788" xr:uid="{00000000-0005-0000-0000-0000E9060000}"/>
    <cellStyle name="20% - Accent6 10 2" xfId="1789" xr:uid="{00000000-0005-0000-0000-0000EA060000}"/>
    <cellStyle name="20% - Accent6 10 2 2" xfId="1790" xr:uid="{00000000-0005-0000-0000-0000EB060000}"/>
    <cellStyle name="20% - Accent6 10 3" xfId="1791" xr:uid="{00000000-0005-0000-0000-0000EC060000}"/>
    <cellStyle name="20% - Accent6 10 3 2" xfId="1792" xr:uid="{00000000-0005-0000-0000-0000ED060000}"/>
    <cellStyle name="20% - Accent6 10 4" xfId="1793" xr:uid="{00000000-0005-0000-0000-0000EE060000}"/>
    <cellStyle name="20% - Accent6 11" xfId="1794" xr:uid="{00000000-0005-0000-0000-0000EF060000}"/>
    <cellStyle name="20% - Accent6 11 2" xfId="1795" xr:uid="{00000000-0005-0000-0000-0000F0060000}"/>
    <cellStyle name="20% - Accent6 12" xfId="1796" xr:uid="{00000000-0005-0000-0000-0000F1060000}"/>
    <cellStyle name="20% - Accent6 12 2" xfId="1797" xr:uid="{00000000-0005-0000-0000-0000F2060000}"/>
    <cellStyle name="20% - Accent6 13" xfId="1798" xr:uid="{00000000-0005-0000-0000-0000F3060000}"/>
    <cellStyle name="20% - Accent6 13 2" xfId="1799" xr:uid="{00000000-0005-0000-0000-0000F4060000}"/>
    <cellStyle name="20% - Accent6 14" xfId="1800" xr:uid="{00000000-0005-0000-0000-0000F5060000}"/>
    <cellStyle name="20% - Accent6 14 2" xfId="1801" xr:uid="{00000000-0005-0000-0000-0000F6060000}"/>
    <cellStyle name="20% - Accent6 15" xfId="1802" xr:uid="{00000000-0005-0000-0000-0000F7060000}"/>
    <cellStyle name="20% - Accent6 15 2" xfId="1803" xr:uid="{00000000-0005-0000-0000-0000F8060000}"/>
    <cellStyle name="20% - Accent6 16" xfId="1804" xr:uid="{00000000-0005-0000-0000-0000F9060000}"/>
    <cellStyle name="20% - Accent6 16 2" xfId="1805" xr:uid="{00000000-0005-0000-0000-0000FA060000}"/>
    <cellStyle name="20% - Accent6 17" xfId="1806" xr:uid="{00000000-0005-0000-0000-0000FB060000}"/>
    <cellStyle name="20% - Accent6 17 2" xfId="1807" xr:uid="{00000000-0005-0000-0000-0000FC060000}"/>
    <cellStyle name="20% - Accent6 18" xfId="1808" xr:uid="{00000000-0005-0000-0000-0000FD060000}"/>
    <cellStyle name="20% - Accent6 18 2" xfId="1809" xr:uid="{00000000-0005-0000-0000-0000FE060000}"/>
    <cellStyle name="20% - Accent6 19" xfId="1810" xr:uid="{00000000-0005-0000-0000-0000FF060000}"/>
    <cellStyle name="20% - Accent6 19 2" xfId="1811" xr:uid="{00000000-0005-0000-0000-000000070000}"/>
    <cellStyle name="20% - Accent6 2" xfId="1812" xr:uid="{00000000-0005-0000-0000-000001070000}"/>
    <cellStyle name="20% - Accent6 2 10" xfId="1813" xr:uid="{00000000-0005-0000-0000-000002070000}"/>
    <cellStyle name="20% - Accent6 2 10 2" xfId="1814" xr:uid="{00000000-0005-0000-0000-000003070000}"/>
    <cellStyle name="20% - Accent6 2 11" xfId="1815" xr:uid="{00000000-0005-0000-0000-000004070000}"/>
    <cellStyle name="20% - Accent6 2 2" xfId="1816" xr:uid="{00000000-0005-0000-0000-000005070000}"/>
    <cellStyle name="20% - Accent6 2 2 10" xfId="1817" xr:uid="{00000000-0005-0000-0000-000006070000}"/>
    <cellStyle name="20% - Accent6 2 2 2" xfId="1818" xr:uid="{00000000-0005-0000-0000-000007070000}"/>
    <cellStyle name="20% - Accent6 2 2 2 2" xfId="1819" xr:uid="{00000000-0005-0000-0000-000008070000}"/>
    <cellStyle name="20% - Accent6 2 2 2 2 2" xfId="1820" xr:uid="{00000000-0005-0000-0000-000009070000}"/>
    <cellStyle name="20% - Accent6 2 2 2 3" xfId="1821" xr:uid="{00000000-0005-0000-0000-00000A070000}"/>
    <cellStyle name="20% - Accent6 2 2 2 3 2" xfId="1822" xr:uid="{00000000-0005-0000-0000-00000B070000}"/>
    <cellStyle name="20% - Accent6 2 2 2 4" xfId="1823" xr:uid="{00000000-0005-0000-0000-00000C070000}"/>
    <cellStyle name="20% - Accent6 2 2 2 4 2" xfId="1824" xr:uid="{00000000-0005-0000-0000-00000D070000}"/>
    <cellStyle name="20% - Accent6 2 2 2 5" xfId="1825" xr:uid="{00000000-0005-0000-0000-00000E070000}"/>
    <cellStyle name="20% - Accent6 2 2 2 5 2" xfId="1826" xr:uid="{00000000-0005-0000-0000-00000F070000}"/>
    <cellStyle name="20% - Accent6 2 2 2 6" xfId="1827" xr:uid="{00000000-0005-0000-0000-000010070000}"/>
    <cellStyle name="20% - Accent6 2 2 3" xfId="1828" xr:uid="{00000000-0005-0000-0000-000011070000}"/>
    <cellStyle name="20% - Accent6 2 2 3 2" xfId="1829" xr:uid="{00000000-0005-0000-0000-000012070000}"/>
    <cellStyle name="20% - Accent6 2 2 3 2 2" xfId="1830" xr:uid="{00000000-0005-0000-0000-000013070000}"/>
    <cellStyle name="20% - Accent6 2 2 3 3" xfId="1831" xr:uid="{00000000-0005-0000-0000-000014070000}"/>
    <cellStyle name="20% - Accent6 2 2 3 3 2" xfId="1832" xr:uid="{00000000-0005-0000-0000-000015070000}"/>
    <cellStyle name="20% - Accent6 2 2 3 4" xfId="1833" xr:uid="{00000000-0005-0000-0000-000016070000}"/>
    <cellStyle name="20% - Accent6 2 2 3 4 2" xfId="1834" xr:uid="{00000000-0005-0000-0000-000017070000}"/>
    <cellStyle name="20% - Accent6 2 2 3 5" xfId="1835" xr:uid="{00000000-0005-0000-0000-000018070000}"/>
    <cellStyle name="20% - Accent6 2 2 3 5 2" xfId="1836" xr:uid="{00000000-0005-0000-0000-000019070000}"/>
    <cellStyle name="20% - Accent6 2 2 3 6" xfId="1837" xr:uid="{00000000-0005-0000-0000-00001A070000}"/>
    <cellStyle name="20% - Accent6 2 2 4" xfId="1838" xr:uid="{00000000-0005-0000-0000-00001B070000}"/>
    <cellStyle name="20% - Accent6 2 2 4 2" xfId="1839" xr:uid="{00000000-0005-0000-0000-00001C070000}"/>
    <cellStyle name="20% - Accent6 2 2 5" xfId="1840" xr:uid="{00000000-0005-0000-0000-00001D070000}"/>
    <cellStyle name="20% - Accent6 2 2 5 2" xfId="1841" xr:uid="{00000000-0005-0000-0000-00001E070000}"/>
    <cellStyle name="20% - Accent6 2 2 6" xfId="1842" xr:uid="{00000000-0005-0000-0000-00001F070000}"/>
    <cellStyle name="20% - Accent6 2 2 6 2" xfId="1843" xr:uid="{00000000-0005-0000-0000-000020070000}"/>
    <cellStyle name="20% - Accent6 2 2 7" xfId="1844" xr:uid="{00000000-0005-0000-0000-000021070000}"/>
    <cellStyle name="20% - Accent6 2 2 7 2" xfId="1845" xr:uid="{00000000-0005-0000-0000-000022070000}"/>
    <cellStyle name="20% - Accent6 2 2 8" xfId="1846" xr:uid="{00000000-0005-0000-0000-000023070000}"/>
    <cellStyle name="20% - Accent6 2 2 8 2" xfId="1847" xr:uid="{00000000-0005-0000-0000-000024070000}"/>
    <cellStyle name="20% - Accent6 2 2 9" xfId="1848" xr:uid="{00000000-0005-0000-0000-000025070000}"/>
    <cellStyle name="20% - Accent6 2 2 9 2" xfId="1849" xr:uid="{00000000-0005-0000-0000-000026070000}"/>
    <cellStyle name="20% - Accent6 2 3" xfId="1850" xr:uid="{00000000-0005-0000-0000-000027070000}"/>
    <cellStyle name="20% - Accent6 2 3 2" xfId="1851" xr:uid="{00000000-0005-0000-0000-000028070000}"/>
    <cellStyle name="20% - Accent6 2 3 2 2" xfId="1852" xr:uid="{00000000-0005-0000-0000-000029070000}"/>
    <cellStyle name="20% - Accent6 2 3 3" xfId="1853" xr:uid="{00000000-0005-0000-0000-00002A070000}"/>
    <cellStyle name="20% - Accent6 2 3 3 2" xfId="1854" xr:uid="{00000000-0005-0000-0000-00002B070000}"/>
    <cellStyle name="20% - Accent6 2 3 4" xfId="1855" xr:uid="{00000000-0005-0000-0000-00002C070000}"/>
    <cellStyle name="20% - Accent6 2 3 4 2" xfId="1856" xr:uid="{00000000-0005-0000-0000-00002D070000}"/>
    <cellStyle name="20% - Accent6 2 3 5" xfId="1857" xr:uid="{00000000-0005-0000-0000-00002E070000}"/>
    <cellStyle name="20% - Accent6 2 3 5 2" xfId="1858" xr:uid="{00000000-0005-0000-0000-00002F070000}"/>
    <cellStyle name="20% - Accent6 2 3 6" xfId="1859" xr:uid="{00000000-0005-0000-0000-000030070000}"/>
    <cellStyle name="20% - Accent6 2 4" xfId="1860" xr:uid="{00000000-0005-0000-0000-000031070000}"/>
    <cellStyle name="20% - Accent6 2 4 2" xfId="1861" xr:uid="{00000000-0005-0000-0000-000032070000}"/>
    <cellStyle name="20% - Accent6 2 4 2 2" xfId="1862" xr:uid="{00000000-0005-0000-0000-000033070000}"/>
    <cellStyle name="20% - Accent6 2 4 3" xfId="1863" xr:uid="{00000000-0005-0000-0000-000034070000}"/>
    <cellStyle name="20% - Accent6 2 4 3 2" xfId="1864" xr:uid="{00000000-0005-0000-0000-000035070000}"/>
    <cellStyle name="20% - Accent6 2 4 4" xfId="1865" xr:uid="{00000000-0005-0000-0000-000036070000}"/>
    <cellStyle name="20% - Accent6 2 4 4 2" xfId="1866" xr:uid="{00000000-0005-0000-0000-000037070000}"/>
    <cellStyle name="20% - Accent6 2 4 5" xfId="1867" xr:uid="{00000000-0005-0000-0000-000038070000}"/>
    <cellStyle name="20% - Accent6 2 4 5 2" xfId="1868" xr:uid="{00000000-0005-0000-0000-000039070000}"/>
    <cellStyle name="20% - Accent6 2 4 6" xfId="1869" xr:uid="{00000000-0005-0000-0000-00003A070000}"/>
    <cellStyle name="20% - Accent6 2 5" xfId="1870" xr:uid="{00000000-0005-0000-0000-00003B070000}"/>
    <cellStyle name="20% - Accent6 2 5 2" xfId="1871" xr:uid="{00000000-0005-0000-0000-00003C070000}"/>
    <cellStyle name="20% - Accent6 2 6" xfId="1872" xr:uid="{00000000-0005-0000-0000-00003D070000}"/>
    <cellStyle name="20% - Accent6 2 6 2" xfId="1873" xr:uid="{00000000-0005-0000-0000-00003E070000}"/>
    <cellStyle name="20% - Accent6 2 7" xfId="1874" xr:uid="{00000000-0005-0000-0000-00003F070000}"/>
    <cellStyle name="20% - Accent6 2 7 2" xfId="1875" xr:uid="{00000000-0005-0000-0000-000040070000}"/>
    <cellStyle name="20% - Accent6 2 8" xfId="1876" xr:uid="{00000000-0005-0000-0000-000041070000}"/>
    <cellStyle name="20% - Accent6 2 8 2" xfId="1877" xr:uid="{00000000-0005-0000-0000-000042070000}"/>
    <cellStyle name="20% - Accent6 2 9" xfId="1878" xr:uid="{00000000-0005-0000-0000-000043070000}"/>
    <cellStyle name="20% - Accent6 2 9 2" xfId="1879" xr:uid="{00000000-0005-0000-0000-000044070000}"/>
    <cellStyle name="20% - Accent6 20" xfId="1880" xr:uid="{00000000-0005-0000-0000-000045070000}"/>
    <cellStyle name="20% - Accent6 20 2" xfId="1881" xr:uid="{00000000-0005-0000-0000-000046070000}"/>
    <cellStyle name="20% - Accent6 3" xfId="1882" xr:uid="{00000000-0005-0000-0000-000047070000}"/>
    <cellStyle name="20% - Accent6 3 10" xfId="1883" xr:uid="{00000000-0005-0000-0000-000048070000}"/>
    <cellStyle name="20% - Accent6 3 10 2" xfId="1884" xr:uid="{00000000-0005-0000-0000-000049070000}"/>
    <cellStyle name="20% - Accent6 3 11" xfId="1885" xr:uid="{00000000-0005-0000-0000-00004A070000}"/>
    <cellStyle name="20% - Accent6 3 2" xfId="1886" xr:uid="{00000000-0005-0000-0000-00004B070000}"/>
    <cellStyle name="20% - Accent6 3 2 10" xfId="1887" xr:uid="{00000000-0005-0000-0000-00004C070000}"/>
    <cellStyle name="20% - Accent6 3 2 2" xfId="1888" xr:uid="{00000000-0005-0000-0000-00004D070000}"/>
    <cellStyle name="20% - Accent6 3 2 2 2" xfId="1889" xr:uid="{00000000-0005-0000-0000-00004E070000}"/>
    <cellStyle name="20% - Accent6 3 2 2 2 2" xfId="1890" xr:uid="{00000000-0005-0000-0000-00004F070000}"/>
    <cellStyle name="20% - Accent6 3 2 2 3" xfId="1891" xr:uid="{00000000-0005-0000-0000-000050070000}"/>
    <cellStyle name="20% - Accent6 3 2 2 3 2" xfId="1892" xr:uid="{00000000-0005-0000-0000-000051070000}"/>
    <cellStyle name="20% - Accent6 3 2 2 4" xfId="1893" xr:uid="{00000000-0005-0000-0000-000052070000}"/>
    <cellStyle name="20% - Accent6 3 2 2 4 2" xfId="1894" xr:uid="{00000000-0005-0000-0000-000053070000}"/>
    <cellStyle name="20% - Accent6 3 2 2 5" xfId="1895" xr:uid="{00000000-0005-0000-0000-000054070000}"/>
    <cellStyle name="20% - Accent6 3 2 2 5 2" xfId="1896" xr:uid="{00000000-0005-0000-0000-000055070000}"/>
    <cellStyle name="20% - Accent6 3 2 2 6" xfId="1897" xr:uid="{00000000-0005-0000-0000-000056070000}"/>
    <cellStyle name="20% - Accent6 3 2 3" xfId="1898" xr:uid="{00000000-0005-0000-0000-000057070000}"/>
    <cellStyle name="20% - Accent6 3 2 3 2" xfId="1899" xr:uid="{00000000-0005-0000-0000-000058070000}"/>
    <cellStyle name="20% - Accent6 3 2 3 2 2" xfId="1900" xr:uid="{00000000-0005-0000-0000-000059070000}"/>
    <cellStyle name="20% - Accent6 3 2 3 3" xfId="1901" xr:uid="{00000000-0005-0000-0000-00005A070000}"/>
    <cellStyle name="20% - Accent6 3 2 3 3 2" xfId="1902" xr:uid="{00000000-0005-0000-0000-00005B070000}"/>
    <cellStyle name="20% - Accent6 3 2 3 4" xfId="1903" xr:uid="{00000000-0005-0000-0000-00005C070000}"/>
    <cellStyle name="20% - Accent6 3 2 3 4 2" xfId="1904" xr:uid="{00000000-0005-0000-0000-00005D070000}"/>
    <cellStyle name="20% - Accent6 3 2 3 5" xfId="1905" xr:uid="{00000000-0005-0000-0000-00005E070000}"/>
    <cellStyle name="20% - Accent6 3 2 3 5 2" xfId="1906" xr:uid="{00000000-0005-0000-0000-00005F070000}"/>
    <cellStyle name="20% - Accent6 3 2 3 6" xfId="1907" xr:uid="{00000000-0005-0000-0000-000060070000}"/>
    <cellStyle name="20% - Accent6 3 2 4" xfId="1908" xr:uid="{00000000-0005-0000-0000-000061070000}"/>
    <cellStyle name="20% - Accent6 3 2 4 2" xfId="1909" xr:uid="{00000000-0005-0000-0000-000062070000}"/>
    <cellStyle name="20% - Accent6 3 2 5" xfId="1910" xr:uid="{00000000-0005-0000-0000-000063070000}"/>
    <cellStyle name="20% - Accent6 3 2 5 2" xfId="1911" xr:uid="{00000000-0005-0000-0000-000064070000}"/>
    <cellStyle name="20% - Accent6 3 2 6" xfId="1912" xr:uid="{00000000-0005-0000-0000-000065070000}"/>
    <cellStyle name="20% - Accent6 3 2 6 2" xfId="1913" xr:uid="{00000000-0005-0000-0000-000066070000}"/>
    <cellStyle name="20% - Accent6 3 2 7" xfId="1914" xr:uid="{00000000-0005-0000-0000-000067070000}"/>
    <cellStyle name="20% - Accent6 3 2 7 2" xfId="1915" xr:uid="{00000000-0005-0000-0000-000068070000}"/>
    <cellStyle name="20% - Accent6 3 2 8" xfId="1916" xr:uid="{00000000-0005-0000-0000-000069070000}"/>
    <cellStyle name="20% - Accent6 3 2 8 2" xfId="1917" xr:uid="{00000000-0005-0000-0000-00006A070000}"/>
    <cellStyle name="20% - Accent6 3 2 9" xfId="1918" xr:uid="{00000000-0005-0000-0000-00006B070000}"/>
    <cellStyle name="20% - Accent6 3 2 9 2" xfId="1919" xr:uid="{00000000-0005-0000-0000-00006C070000}"/>
    <cellStyle name="20% - Accent6 3 3" xfId="1920" xr:uid="{00000000-0005-0000-0000-00006D070000}"/>
    <cellStyle name="20% - Accent6 3 3 2" xfId="1921" xr:uid="{00000000-0005-0000-0000-00006E070000}"/>
    <cellStyle name="20% - Accent6 3 3 2 2" xfId="1922" xr:uid="{00000000-0005-0000-0000-00006F070000}"/>
    <cellStyle name="20% - Accent6 3 3 3" xfId="1923" xr:uid="{00000000-0005-0000-0000-000070070000}"/>
    <cellStyle name="20% - Accent6 3 3 3 2" xfId="1924" xr:uid="{00000000-0005-0000-0000-000071070000}"/>
    <cellStyle name="20% - Accent6 3 3 4" xfId="1925" xr:uid="{00000000-0005-0000-0000-000072070000}"/>
    <cellStyle name="20% - Accent6 3 3 4 2" xfId="1926" xr:uid="{00000000-0005-0000-0000-000073070000}"/>
    <cellStyle name="20% - Accent6 3 3 5" xfId="1927" xr:uid="{00000000-0005-0000-0000-000074070000}"/>
    <cellStyle name="20% - Accent6 3 3 5 2" xfId="1928" xr:uid="{00000000-0005-0000-0000-000075070000}"/>
    <cellStyle name="20% - Accent6 3 3 6" xfId="1929" xr:uid="{00000000-0005-0000-0000-000076070000}"/>
    <cellStyle name="20% - Accent6 3 4" xfId="1930" xr:uid="{00000000-0005-0000-0000-000077070000}"/>
    <cellStyle name="20% - Accent6 3 4 2" xfId="1931" xr:uid="{00000000-0005-0000-0000-000078070000}"/>
    <cellStyle name="20% - Accent6 3 4 2 2" xfId="1932" xr:uid="{00000000-0005-0000-0000-000079070000}"/>
    <cellStyle name="20% - Accent6 3 4 3" xfId="1933" xr:uid="{00000000-0005-0000-0000-00007A070000}"/>
    <cellStyle name="20% - Accent6 3 4 3 2" xfId="1934" xr:uid="{00000000-0005-0000-0000-00007B070000}"/>
    <cellStyle name="20% - Accent6 3 4 4" xfId="1935" xr:uid="{00000000-0005-0000-0000-00007C070000}"/>
    <cellStyle name="20% - Accent6 3 4 4 2" xfId="1936" xr:uid="{00000000-0005-0000-0000-00007D070000}"/>
    <cellStyle name="20% - Accent6 3 4 5" xfId="1937" xr:uid="{00000000-0005-0000-0000-00007E070000}"/>
    <cellStyle name="20% - Accent6 3 4 5 2" xfId="1938" xr:uid="{00000000-0005-0000-0000-00007F070000}"/>
    <cellStyle name="20% - Accent6 3 4 6" xfId="1939" xr:uid="{00000000-0005-0000-0000-000080070000}"/>
    <cellStyle name="20% - Accent6 3 5" xfId="1940" xr:uid="{00000000-0005-0000-0000-000081070000}"/>
    <cellStyle name="20% - Accent6 3 5 2" xfId="1941" xr:uid="{00000000-0005-0000-0000-000082070000}"/>
    <cellStyle name="20% - Accent6 3 6" xfId="1942" xr:uid="{00000000-0005-0000-0000-000083070000}"/>
    <cellStyle name="20% - Accent6 3 6 2" xfId="1943" xr:uid="{00000000-0005-0000-0000-000084070000}"/>
    <cellStyle name="20% - Accent6 3 7" xfId="1944" xr:uid="{00000000-0005-0000-0000-000085070000}"/>
    <cellStyle name="20% - Accent6 3 7 2" xfId="1945" xr:uid="{00000000-0005-0000-0000-000086070000}"/>
    <cellStyle name="20% - Accent6 3 8" xfId="1946" xr:uid="{00000000-0005-0000-0000-000087070000}"/>
    <cellStyle name="20% - Accent6 3 8 2" xfId="1947" xr:uid="{00000000-0005-0000-0000-000088070000}"/>
    <cellStyle name="20% - Accent6 3 9" xfId="1948" xr:uid="{00000000-0005-0000-0000-000089070000}"/>
    <cellStyle name="20% - Accent6 3 9 2" xfId="1949" xr:uid="{00000000-0005-0000-0000-00008A070000}"/>
    <cellStyle name="20% - Accent6 4" xfId="1950" xr:uid="{00000000-0005-0000-0000-00008B070000}"/>
    <cellStyle name="20% - Accent6 4 10" xfId="1951" xr:uid="{00000000-0005-0000-0000-00008C070000}"/>
    <cellStyle name="20% - Accent6 4 10 2" xfId="1952" xr:uid="{00000000-0005-0000-0000-00008D070000}"/>
    <cellStyle name="20% - Accent6 4 11" xfId="1953" xr:uid="{00000000-0005-0000-0000-00008E070000}"/>
    <cellStyle name="20% - Accent6 4 2" xfId="1954" xr:uid="{00000000-0005-0000-0000-00008F070000}"/>
    <cellStyle name="20% - Accent6 4 2 10" xfId="1955" xr:uid="{00000000-0005-0000-0000-000090070000}"/>
    <cellStyle name="20% - Accent6 4 2 2" xfId="1956" xr:uid="{00000000-0005-0000-0000-000091070000}"/>
    <cellStyle name="20% - Accent6 4 2 2 2" xfId="1957" xr:uid="{00000000-0005-0000-0000-000092070000}"/>
    <cellStyle name="20% - Accent6 4 2 2 2 2" xfId="1958" xr:uid="{00000000-0005-0000-0000-000093070000}"/>
    <cellStyle name="20% - Accent6 4 2 2 3" xfId="1959" xr:uid="{00000000-0005-0000-0000-000094070000}"/>
    <cellStyle name="20% - Accent6 4 2 2 3 2" xfId="1960" xr:uid="{00000000-0005-0000-0000-000095070000}"/>
    <cellStyle name="20% - Accent6 4 2 2 4" xfId="1961" xr:uid="{00000000-0005-0000-0000-000096070000}"/>
    <cellStyle name="20% - Accent6 4 2 2 4 2" xfId="1962" xr:uid="{00000000-0005-0000-0000-000097070000}"/>
    <cellStyle name="20% - Accent6 4 2 2 5" xfId="1963" xr:uid="{00000000-0005-0000-0000-000098070000}"/>
    <cellStyle name="20% - Accent6 4 2 2 5 2" xfId="1964" xr:uid="{00000000-0005-0000-0000-000099070000}"/>
    <cellStyle name="20% - Accent6 4 2 2 6" xfId="1965" xr:uid="{00000000-0005-0000-0000-00009A070000}"/>
    <cellStyle name="20% - Accent6 4 2 3" xfId="1966" xr:uid="{00000000-0005-0000-0000-00009B070000}"/>
    <cellStyle name="20% - Accent6 4 2 3 2" xfId="1967" xr:uid="{00000000-0005-0000-0000-00009C070000}"/>
    <cellStyle name="20% - Accent6 4 2 3 2 2" xfId="1968" xr:uid="{00000000-0005-0000-0000-00009D070000}"/>
    <cellStyle name="20% - Accent6 4 2 3 3" xfId="1969" xr:uid="{00000000-0005-0000-0000-00009E070000}"/>
    <cellStyle name="20% - Accent6 4 2 3 3 2" xfId="1970" xr:uid="{00000000-0005-0000-0000-00009F070000}"/>
    <cellStyle name="20% - Accent6 4 2 3 4" xfId="1971" xr:uid="{00000000-0005-0000-0000-0000A0070000}"/>
    <cellStyle name="20% - Accent6 4 2 3 4 2" xfId="1972" xr:uid="{00000000-0005-0000-0000-0000A1070000}"/>
    <cellStyle name="20% - Accent6 4 2 3 5" xfId="1973" xr:uid="{00000000-0005-0000-0000-0000A2070000}"/>
    <cellStyle name="20% - Accent6 4 2 3 5 2" xfId="1974" xr:uid="{00000000-0005-0000-0000-0000A3070000}"/>
    <cellStyle name="20% - Accent6 4 2 3 6" xfId="1975" xr:uid="{00000000-0005-0000-0000-0000A4070000}"/>
    <cellStyle name="20% - Accent6 4 2 4" xfId="1976" xr:uid="{00000000-0005-0000-0000-0000A5070000}"/>
    <cellStyle name="20% - Accent6 4 2 4 2" xfId="1977" xr:uid="{00000000-0005-0000-0000-0000A6070000}"/>
    <cellStyle name="20% - Accent6 4 2 5" xfId="1978" xr:uid="{00000000-0005-0000-0000-0000A7070000}"/>
    <cellStyle name="20% - Accent6 4 2 5 2" xfId="1979" xr:uid="{00000000-0005-0000-0000-0000A8070000}"/>
    <cellStyle name="20% - Accent6 4 2 6" xfId="1980" xr:uid="{00000000-0005-0000-0000-0000A9070000}"/>
    <cellStyle name="20% - Accent6 4 2 6 2" xfId="1981" xr:uid="{00000000-0005-0000-0000-0000AA070000}"/>
    <cellStyle name="20% - Accent6 4 2 7" xfId="1982" xr:uid="{00000000-0005-0000-0000-0000AB070000}"/>
    <cellStyle name="20% - Accent6 4 2 7 2" xfId="1983" xr:uid="{00000000-0005-0000-0000-0000AC070000}"/>
    <cellStyle name="20% - Accent6 4 2 8" xfId="1984" xr:uid="{00000000-0005-0000-0000-0000AD070000}"/>
    <cellStyle name="20% - Accent6 4 2 8 2" xfId="1985" xr:uid="{00000000-0005-0000-0000-0000AE070000}"/>
    <cellStyle name="20% - Accent6 4 2 9" xfId="1986" xr:uid="{00000000-0005-0000-0000-0000AF070000}"/>
    <cellStyle name="20% - Accent6 4 2 9 2" xfId="1987" xr:uid="{00000000-0005-0000-0000-0000B0070000}"/>
    <cellStyle name="20% - Accent6 4 3" xfId="1988" xr:uid="{00000000-0005-0000-0000-0000B1070000}"/>
    <cellStyle name="20% - Accent6 4 3 2" xfId="1989" xr:uid="{00000000-0005-0000-0000-0000B2070000}"/>
    <cellStyle name="20% - Accent6 4 3 2 2" xfId="1990" xr:uid="{00000000-0005-0000-0000-0000B3070000}"/>
    <cellStyle name="20% - Accent6 4 3 3" xfId="1991" xr:uid="{00000000-0005-0000-0000-0000B4070000}"/>
    <cellStyle name="20% - Accent6 4 3 3 2" xfId="1992" xr:uid="{00000000-0005-0000-0000-0000B5070000}"/>
    <cellStyle name="20% - Accent6 4 3 4" xfId="1993" xr:uid="{00000000-0005-0000-0000-0000B6070000}"/>
    <cellStyle name="20% - Accent6 4 3 4 2" xfId="1994" xr:uid="{00000000-0005-0000-0000-0000B7070000}"/>
    <cellStyle name="20% - Accent6 4 3 5" xfId="1995" xr:uid="{00000000-0005-0000-0000-0000B8070000}"/>
    <cellStyle name="20% - Accent6 4 3 5 2" xfId="1996" xr:uid="{00000000-0005-0000-0000-0000B9070000}"/>
    <cellStyle name="20% - Accent6 4 3 6" xfId="1997" xr:uid="{00000000-0005-0000-0000-0000BA070000}"/>
    <cellStyle name="20% - Accent6 4 4" xfId="1998" xr:uid="{00000000-0005-0000-0000-0000BB070000}"/>
    <cellStyle name="20% - Accent6 4 4 2" xfId="1999" xr:uid="{00000000-0005-0000-0000-0000BC070000}"/>
    <cellStyle name="20% - Accent6 4 4 2 2" xfId="2000" xr:uid="{00000000-0005-0000-0000-0000BD070000}"/>
    <cellStyle name="20% - Accent6 4 4 3" xfId="2001" xr:uid="{00000000-0005-0000-0000-0000BE070000}"/>
    <cellStyle name="20% - Accent6 4 4 3 2" xfId="2002" xr:uid="{00000000-0005-0000-0000-0000BF070000}"/>
    <cellStyle name="20% - Accent6 4 4 4" xfId="2003" xr:uid="{00000000-0005-0000-0000-0000C0070000}"/>
    <cellStyle name="20% - Accent6 4 4 4 2" xfId="2004" xr:uid="{00000000-0005-0000-0000-0000C1070000}"/>
    <cellStyle name="20% - Accent6 4 4 5" xfId="2005" xr:uid="{00000000-0005-0000-0000-0000C2070000}"/>
    <cellStyle name="20% - Accent6 4 4 5 2" xfId="2006" xr:uid="{00000000-0005-0000-0000-0000C3070000}"/>
    <cellStyle name="20% - Accent6 4 4 6" xfId="2007" xr:uid="{00000000-0005-0000-0000-0000C4070000}"/>
    <cellStyle name="20% - Accent6 4 5" xfId="2008" xr:uid="{00000000-0005-0000-0000-0000C5070000}"/>
    <cellStyle name="20% - Accent6 4 5 2" xfId="2009" xr:uid="{00000000-0005-0000-0000-0000C6070000}"/>
    <cellStyle name="20% - Accent6 4 6" xfId="2010" xr:uid="{00000000-0005-0000-0000-0000C7070000}"/>
    <cellStyle name="20% - Accent6 4 6 2" xfId="2011" xr:uid="{00000000-0005-0000-0000-0000C8070000}"/>
    <cellStyle name="20% - Accent6 4 7" xfId="2012" xr:uid="{00000000-0005-0000-0000-0000C9070000}"/>
    <cellStyle name="20% - Accent6 4 7 2" xfId="2013" xr:uid="{00000000-0005-0000-0000-0000CA070000}"/>
    <cellStyle name="20% - Accent6 4 8" xfId="2014" xr:uid="{00000000-0005-0000-0000-0000CB070000}"/>
    <cellStyle name="20% - Accent6 4 8 2" xfId="2015" xr:uid="{00000000-0005-0000-0000-0000CC070000}"/>
    <cellStyle name="20% - Accent6 4 9" xfId="2016" xr:uid="{00000000-0005-0000-0000-0000CD070000}"/>
    <cellStyle name="20% - Accent6 4 9 2" xfId="2017" xr:uid="{00000000-0005-0000-0000-0000CE070000}"/>
    <cellStyle name="20% - Accent6 5" xfId="2018" xr:uid="{00000000-0005-0000-0000-0000CF070000}"/>
    <cellStyle name="20% - Accent6 5 10" xfId="2019" xr:uid="{00000000-0005-0000-0000-0000D0070000}"/>
    <cellStyle name="20% - Accent6 5 2" xfId="2020" xr:uid="{00000000-0005-0000-0000-0000D1070000}"/>
    <cellStyle name="20% - Accent6 5 2 2" xfId="2021" xr:uid="{00000000-0005-0000-0000-0000D2070000}"/>
    <cellStyle name="20% - Accent6 5 2 2 2" xfId="2022" xr:uid="{00000000-0005-0000-0000-0000D3070000}"/>
    <cellStyle name="20% - Accent6 5 2 3" xfId="2023" xr:uid="{00000000-0005-0000-0000-0000D4070000}"/>
    <cellStyle name="20% - Accent6 5 2 3 2" xfId="2024" xr:uid="{00000000-0005-0000-0000-0000D5070000}"/>
    <cellStyle name="20% - Accent6 5 2 4" xfId="2025" xr:uid="{00000000-0005-0000-0000-0000D6070000}"/>
    <cellStyle name="20% - Accent6 5 2 4 2" xfId="2026" xr:uid="{00000000-0005-0000-0000-0000D7070000}"/>
    <cellStyle name="20% - Accent6 5 2 5" xfId="2027" xr:uid="{00000000-0005-0000-0000-0000D8070000}"/>
    <cellStyle name="20% - Accent6 5 2 5 2" xfId="2028" xr:uid="{00000000-0005-0000-0000-0000D9070000}"/>
    <cellStyle name="20% - Accent6 5 2 6" xfId="2029" xr:uid="{00000000-0005-0000-0000-0000DA070000}"/>
    <cellStyle name="20% - Accent6 5 3" xfId="2030" xr:uid="{00000000-0005-0000-0000-0000DB070000}"/>
    <cellStyle name="20% - Accent6 5 3 2" xfId="2031" xr:uid="{00000000-0005-0000-0000-0000DC070000}"/>
    <cellStyle name="20% - Accent6 5 3 2 2" xfId="2032" xr:uid="{00000000-0005-0000-0000-0000DD070000}"/>
    <cellStyle name="20% - Accent6 5 3 3" xfId="2033" xr:uid="{00000000-0005-0000-0000-0000DE070000}"/>
    <cellStyle name="20% - Accent6 5 3 3 2" xfId="2034" xr:uid="{00000000-0005-0000-0000-0000DF070000}"/>
    <cellStyle name="20% - Accent6 5 3 4" xfId="2035" xr:uid="{00000000-0005-0000-0000-0000E0070000}"/>
    <cellStyle name="20% - Accent6 5 3 4 2" xfId="2036" xr:uid="{00000000-0005-0000-0000-0000E1070000}"/>
    <cellStyle name="20% - Accent6 5 3 5" xfId="2037" xr:uid="{00000000-0005-0000-0000-0000E2070000}"/>
    <cellStyle name="20% - Accent6 5 3 5 2" xfId="2038" xr:uid="{00000000-0005-0000-0000-0000E3070000}"/>
    <cellStyle name="20% - Accent6 5 3 6" xfId="2039" xr:uid="{00000000-0005-0000-0000-0000E4070000}"/>
    <cellStyle name="20% - Accent6 5 4" xfId="2040" xr:uid="{00000000-0005-0000-0000-0000E5070000}"/>
    <cellStyle name="20% - Accent6 5 4 2" xfId="2041" xr:uid="{00000000-0005-0000-0000-0000E6070000}"/>
    <cellStyle name="20% - Accent6 5 5" xfId="2042" xr:uid="{00000000-0005-0000-0000-0000E7070000}"/>
    <cellStyle name="20% - Accent6 5 5 2" xfId="2043" xr:uid="{00000000-0005-0000-0000-0000E8070000}"/>
    <cellStyle name="20% - Accent6 5 6" xfId="2044" xr:uid="{00000000-0005-0000-0000-0000E9070000}"/>
    <cellStyle name="20% - Accent6 5 6 2" xfId="2045" xr:uid="{00000000-0005-0000-0000-0000EA070000}"/>
    <cellStyle name="20% - Accent6 5 7" xfId="2046" xr:uid="{00000000-0005-0000-0000-0000EB070000}"/>
    <cellStyle name="20% - Accent6 5 7 2" xfId="2047" xr:uid="{00000000-0005-0000-0000-0000EC070000}"/>
    <cellStyle name="20% - Accent6 5 8" xfId="2048" xr:uid="{00000000-0005-0000-0000-0000ED070000}"/>
    <cellStyle name="20% - Accent6 5 8 2" xfId="2049" xr:uid="{00000000-0005-0000-0000-0000EE070000}"/>
    <cellStyle name="20% - Accent6 5 9" xfId="2050" xr:uid="{00000000-0005-0000-0000-0000EF070000}"/>
    <cellStyle name="20% - Accent6 5 9 2" xfId="2051" xr:uid="{00000000-0005-0000-0000-0000F0070000}"/>
    <cellStyle name="20% - Accent6 6" xfId="2052" xr:uid="{00000000-0005-0000-0000-0000F1070000}"/>
    <cellStyle name="20% - Accent6 6 10" xfId="2053" xr:uid="{00000000-0005-0000-0000-0000F2070000}"/>
    <cellStyle name="20% - Accent6 6 2" xfId="2054" xr:uid="{00000000-0005-0000-0000-0000F3070000}"/>
    <cellStyle name="20% - Accent6 6 2 2" xfId="2055" xr:uid="{00000000-0005-0000-0000-0000F4070000}"/>
    <cellStyle name="20% - Accent6 6 2 2 2" xfId="2056" xr:uid="{00000000-0005-0000-0000-0000F5070000}"/>
    <cellStyle name="20% - Accent6 6 2 3" xfId="2057" xr:uid="{00000000-0005-0000-0000-0000F6070000}"/>
    <cellStyle name="20% - Accent6 6 2 3 2" xfId="2058" xr:uid="{00000000-0005-0000-0000-0000F7070000}"/>
    <cellStyle name="20% - Accent6 6 2 4" xfId="2059" xr:uid="{00000000-0005-0000-0000-0000F8070000}"/>
    <cellStyle name="20% - Accent6 6 2 4 2" xfId="2060" xr:uid="{00000000-0005-0000-0000-0000F9070000}"/>
    <cellStyle name="20% - Accent6 6 2 5" xfId="2061" xr:uid="{00000000-0005-0000-0000-0000FA070000}"/>
    <cellStyle name="20% - Accent6 6 2 5 2" xfId="2062" xr:uid="{00000000-0005-0000-0000-0000FB070000}"/>
    <cellStyle name="20% - Accent6 6 2 6" xfId="2063" xr:uid="{00000000-0005-0000-0000-0000FC070000}"/>
    <cellStyle name="20% - Accent6 6 3" xfId="2064" xr:uid="{00000000-0005-0000-0000-0000FD070000}"/>
    <cellStyle name="20% - Accent6 6 3 2" xfId="2065" xr:uid="{00000000-0005-0000-0000-0000FE070000}"/>
    <cellStyle name="20% - Accent6 6 3 2 2" xfId="2066" xr:uid="{00000000-0005-0000-0000-0000FF070000}"/>
    <cellStyle name="20% - Accent6 6 3 3" xfId="2067" xr:uid="{00000000-0005-0000-0000-000000080000}"/>
    <cellStyle name="20% - Accent6 6 3 3 2" xfId="2068" xr:uid="{00000000-0005-0000-0000-000001080000}"/>
    <cellStyle name="20% - Accent6 6 3 4" xfId="2069" xr:uid="{00000000-0005-0000-0000-000002080000}"/>
    <cellStyle name="20% - Accent6 6 3 4 2" xfId="2070" xr:uid="{00000000-0005-0000-0000-000003080000}"/>
    <cellStyle name="20% - Accent6 6 3 5" xfId="2071" xr:uid="{00000000-0005-0000-0000-000004080000}"/>
    <cellStyle name="20% - Accent6 6 3 5 2" xfId="2072" xr:uid="{00000000-0005-0000-0000-000005080000}"/>
    <cellStyle name="20% - Accent6 6 3 6" xfId="2073" xr:uid="{00000000-0005-0000-0000-000006080000}"/>
    <cellStyle name="20% - Accent6 6 4" xfId="2074" xr:uid="{00000000-0005-0000-0000-000007080000}"/>
    <cellStyle name="20% - Accent6 6 4 2" xfId="2075" xr:uid="{00000000-0005-0000-0000-000008080000}"/>
    <cellStyle name="20% - Accent6 6 5" xfId="2076" xr:uid="{00000000-0005-0000-0000-000009080000}"/>
    <cellStyle name="20% - Accent6 6 5 2" xfId="2077" xr:uid="{00000000-0005-0000-0000-00000A080000}"/>
    <cellStyle name="20% - Accent6 6 6" xfId="2078" xr:uid="{00000000-0005-0000-0000-00000B080000}"/>
    <cellStyle name="20% - Accent6 6 6 2" xfId="2079" xr:uid="{00000000-0005-0000-0000-00000C080000}"/>
    <cellStyle name="20% - Accent6 6 7" xfId="2080" xr:uid="{00000000-0005-0000-0000-00000D080000}"/>
    <cellStyle name="20% - Accent6 6 7 2" xfId="2081" xr:uid="{00000000-0005-0000-0000-00000E080000}"/>
    <cellStyle name="20% - Accent6 6 8" xfId="2082" xr:uid="{00000000-0005-0000-0000-00000F080000}"/>
    <cellStyle name="20% - Accent6 6 8 2" xfId="2083" xr:uid="{00000000-0005-0000-0000-000010080000}"/>
    <cellStyle name="20% - Accent6 6 9" xfId="2084" xr:uid="{00000000-0005-0000-0000-000011080000}"/>
    <cellStyle name="20% - Accent6 6 9 2" xfId="2085" xr:uid="{00000000-0005-0000-0000-000012080000}"/>
    <cellStyle name="20% - Accent6 7" xfId="2086" xr:uid="{00000000-0005-0000-0000-000013080000}"/>
    <cellStyle name="20% - Accent6 7 10" xfId="2087" xr:uid="{00000000-0005-0000-0000-000014080000}"/>
    <cellStyle name="20% - Accent6 7 2" xfId="2088" xr:uid="{00000000-0005-0000-0000-000015080000}"/>
    <cellStyle name="20% - Accent6 7 2 2" xfId="2089" xr:uid="{00000000-0005-0000-0000-000016080000}"/>
    <cellStyle name="20% - Accent6 7 2 2 2" xfId="2090" xr:uid="{00000000-0005-0000-0000-000017080000}"/>
    <cellStyle name="20% - Accent6 7 2 3" xfId="2091" xr:uid="{00000000-0005-0000-0000-000018080000}"/>
    <cellStyle name="20% - Accent6 7 2 3 2" xfId="2092" xr:uid="{00000000-0005-0000-0000-000019080000}"/>
    <cellStyle name="20% - Accent6 7 2 4" xfId="2093" xr:uid="{00000000-0005-0000-0000-00001A080000}"/>
    <cellStyle name="20% - Accent6 7 2 4 2" xfId="2094" xr:uid="{00000000-0005-0000-0000-00001B080000}"/>
    <cellStyle name="20% - Accent6 7 2 5" xfId="2095" xr:uid="{00000000-0005-0000-0000-00001C080000}"/>
    <cellStyle name="20% - Accent6 7 2 5 2" xfId="2096" xr:uid="{00000000-0005-0000-0000-00001D080000}"/>
    <cellStyle name="20% - Accent6 7 2 6" xfId="2097" xr:uid="{00000000-0005-0000-0000-00001E080000}"/>
    <cellStyle name="20% - Accent6 7 3" xfId="2098" xr:uid="{00000000-0005-0000-0000-00001F080000}"/>
    <cellStyle name="20% - Accent6 7 3 2" xfId="2099" xr:uid="{00000000-0005-0000-0000-000020080000}"/>
    <cellStyle name="20% - Accent6 7 3 2 2" xfId="2100" xr:uid="{00000000-0005-0000-0000-000021080000}"/>
    <cellStyle name="20% - Accent6 7 3 3" xfId="2101" xr:uid="{00000000-0005-0000-0000-000022080000}"/>
    <cellStyle name="20% - Accent6 7 3 3 2" xfId="2102" xr:uid="{00000000-0005-0000-0000-000023080000}"/>
    <cellStyle name="20% - Accent6 7 3 4" xfId="2103" xr:uid="{00000000-0005-0000-0000-000024080000}"/>
    <cellStyle name="20% - Accent6 7 3 4 2" xfId="2104" xr:uid="{00000000-0005-0000-0000-000025080000}"/>
    <cellStyle name="20% - Accent6 7 3 5" xfId="2105" xr:uid="{00000000-0005-0000-0000-000026080000}"/>
    <cellStyle name="20% - Accent6 7 3 5 2" xfId="2106" xr:uid="{00000000-0005-0000-0000-000027080000}"/>
    <cellStyle name="20% - Accent6 7 3 6" xfId="2107" xr:uid="{00000000-0005-0000-0000-000028080000}"/>
    <cellStyle name="20% - Accent6 7 4" xfId="2108" xr:uid="{00000000-0005-0000-0000-000029080000}"/>
    <cellStyle name="20% - Accent6 7 4 2" xfId="2109" xr:uid="{00000000-0005-0000-0000-00002A080000}"/>
    <cellStyle name="20% - Accent6 7 5" xfId="2110" xr:uid="{00000000-0005-0000-0000-00002B080000}"/>
    <cellStyle name="20% - Accent6 7 5 2" xfId="2111" xr:uid="{00000000-0005-0000-0000-00002C080000}"/>
    <cellStyle name="20% - Accent6 7 6" xfId="2112" xr:uid="{00000000-0005-0000-0000-00002D080000}"/>
    <cellStyle name="20% - Accent6 7 6 2" xfId="2113" xr:uid="{00000000-0005-0000-0000-00002E080000}"/>
    <cellStyle name="20% - Accent6 7 7" xfId="2114" xr:uid="{00000000-0005-0000-0000-00002F080000}"/>
    <cellStyle name="20% - Accent6 7 7 2" xfId="2115" xr:uid="{00000000-0005-0000-0000-000030080000}"/>
    <cellStyle name="20% - Accent6 7 8" xfId="2116" xr:uid="{00000000-0005-0000-0000-000031080000}"/>
    <cellStyle name="20% - Accent6 7 8 2" xfId="2117" xr:uid="{00000000-0005-0000-0000-000032080000}"/>
    <cellStyle name="20% - Accent6 7 9" xfId="2118" xr:uid="{00000000-0005-0000-0000-000033080000}"/>
    <cellStyle name="20% - Accent6 7 9 2" xfId="2119" xr:uid="{00000000-0005-0000-0000-000034080000}"/>
    <cellStyle name="20% - Accent6 8" xfId="2120" xr:uid="{00000000-0005-0000-0000-000035080000}"/>
    <cellStyle name="20% - Accent6 8 2" xfId="2121" xr:uid="{00000000-0005-0000-0000-000036080000}"/>
    <cellStyle name="20% - Accent6 8 2 2" xfId="2122" xr:uid="{00000000-0005-0000-0000-000037080000}"/>
    <cellStyle name="20% - Accent6 8 3" xfId="2123" xr:uid="{00000000-0005-0000-0000-000038080000}"/>
    <cellStyle name="20% - Accent6 8 3 2" xfId="2124" xr:uid="{00000000-0005-0000-0000-000039080000}"/>
    <cellStyle name="20% - Accent6 8 4" xfId="2125" xr:uid="{00000000-0005-0000-0000-00003A080000}"/>
    <cellStyle name="20% - Accent6 8 4 2" xfId="2126" xr:uid="{00000000-0005-0000-0000-00003B080000}"/>
    <cellStyle name="20% - Accent6 8 5" xfId="2127" xr:uid="{00000000-0005-0000-0000-00003C080000}"/>
    <cellStyle name="20% - Accent6 8 5 2" xfId="2128" xr:uid="{00000000-0005-0000-0000-00003D080000}"/>
    <cellStyle name="20% - Accent6 8 6" xfId="2129" xr:uid="{00000000-0005-0000-0000-00003E080000}"/>
    <cellStyle name="20% - Accent6 9" xfId="2130" xr:uid="{00000000-0005-0000-0000-00003F080000}"/>
    <cellStyle name="20% - Accent6 9 2" xfId="2131" xr:uid="{00000000-0005-0000-0000-000040080000}"/>
    <cellStyle name="20% - Accent6 9 2 2" xfId="2132" xr:uid="{00000000-0005-0000-0000-000041080000}"/>
    <cellStyle name="20% - Accent6 9 3" xfId="2133" xr:uid="{00000000-0005-0000-0000-000042080000}"/>
    <cellStyle name="20% - Accent6 9 3 2" xfId="2134" xr:uid="{00000000-0005-0000-0000-000043080000}"/>
    <cellStyle name="20% - Accent6 9 4" xfId="2135" xr:uid="{00000000-0005-0000-0000-000044080000}"/>
    <cellStyle name="20% - Accent6 9 4 2" xfId="2136" xr:uid="{00000000-0005-0000-0000-000045080000}"/>
    <cellStyle name="20% - Accent6 9 5" xfId="2137" xr:uid="{00000000-0005-0000-0000-000046080000}"/>
    <cellStyle name="20% - Accent6 9 5 2" xfId="2138" xr:uid="{00000000-0005-0000-0000-000047080000}"/>
    <cellStyle name="20% - Accent6 9 6" xfId="2139" xr:uid="{00000000-0005-0000-0000-000048080000}"/>
    <cellStyle name="40% - Accent1 10" xfId="2140" xr:uid="{00000000-0005-0000-0000-000049080000}"/>
    <cellStyle name="40% - Accent1 10 2" xfId="2141" xr:uid="{00000000-0005-0000-0000-00004A080000}"/>
    <cellStyle name="40% - Accent1 10 2 2" xfId="2142" xr:uid="{00000000-0005-0000-0000-00004B080000}"/>
    <cellStyle name="40% - Accent1 10 3" xfId="2143" xr:uid="{00000000-0005-0000-0000-00004C080000}"/>
    <cellStyle name="40% - Accent1 10 3 2" xfId="2144" xr:uid="{00000000-0005-0000-0000-00004D080000}"/>
    <cellStyle name="40% - Accent1 10 4" xfId="2145" xr:uid="{00000000-0005-0000-0000-00004E080000}"/>
    <cellStyle name="40% - Accent1 11" xfId="2146" xr:uid="{00000000-0005-0000-0000-00004F080000}"/>
    <cellStyle name="40% - Accent1 11 2" xfId="2147" xr:uid="{00000000-0005-0000-0000-000050080000}"/>
    <cellStyle name="40% - Accent1 12" xfId="2148" xr:uid="{00000000-0005-0000-0000-000051080000}"/>
    <cellStyle name="40% - Accent1 12 2" xfId="2149" xr:uid="{00000000-0005-0000-0000-000052080000}"/>
    <cellStyle name="40% - Accent1 13" xfId="2150" xr:uid="{00000000-0005-0000-0000-000053080000}"/>
    <cellStyle name="40% - Accent1 13 2" xfId="2151" xr:uid="{00000000-0005-0000-0000-000054080000}"/>
    <cellStyle name="40% - Accent1 14" xfId="2152" xr:uid="{00000000-0005-0000-0000-000055080000}"/>
    <cellStyle name="40% - Accent1 14 2" xfId="2153" xr:uid="{00000000-0005-0000-0000-000056080000}"/>
    <cellStyle name="40% - Accent1 15" xfId="2154" xr:uid="{00000000-0005-0000-0000-000057080000}"/>
    <cellStyle name="40% - Accent1 15 2" xfId="2155" xr:uid="{00000000-0005-0000-0000-000058080000}"/>
    <cellStyle name="40% - Accent1 16" xfId="2156" xr:uid="{00000000-0005-0000-0000-000059080000}"/>
    <cellStyle name="40% - Accent1 16 2" xfId="2157" xr:uid="{00000000-0005-0000-0000-00005A080000}"/>
    <cellStyle name="40% - Accent1 17" xfId="2158" xr:uid="{00000000-0005-0000-0000-00005B080000}"/>
    <cellStyle name="40% - Accent1 17 2" xfId="2159" xr:uid="{00000000-0005-0000-0000-00005C080000}"/>
    <cellStyle name="40% - Accent1 18" xfId="2160" xr:uid="{00000000-0005-0000-0000-00005D080000}"/>
    <cellStyle name="40% - Accent1 18 2" xfId="2161" xr:uid="{00000000-0005-0000-0000-00005E080000}"/>
    <cellStyle name="40% - Accent1 19" xfId="2162" xr:uid="{00000000-0005-0000-0000-00005F080000}"/>
    <cellStyle name="40% - Accent1 19 2" xfId="2163" xr:uid="{00000000-0005-0000-0000-000060080000}"/>
    <cellStyle name="40% - Accent1 2" xfId="2164" xr:uid="{00000000-0005-0000-0000-000061080000}"/>
    <cellStyle name="40% - Accent1 2 10" xfId="2165" xr:uid="{00000000-0005-0000-0000-000062080000}"/>
    <cellStyle name="40% - Accent1 2 10 2" xfId="2166" xr:uid="{00000000-0005-0000-0000-000063080000}"/>
    <cellStyle name="40% - Accent1 2 11" xfId="2167" xr:uid="{00000000-0005-0000-0000-000064080000}"/>
    <cellStyle name="40% - Accent1 2 2" xfId="2168" xr:uid="{00000000-0005-0000-0000-000065080000}"/>
    <cellStyle name="40% - Accent1 2 2 10" xfId="2169" xr:uid="{00000000-0005-0000-0000-000066080000}"/>
    <cellStyle name="40% - Accent1 2 2 2" xfId="2170" xr:uid="{00000000-0005-0000-0000-000067080000}"/>
    <cellStyle name="40% - Accent1 2 2 2 2" xfId="2171" xr:uid="{00000000-0005-0000-0000-000068080000}"/>
    <cellStyle name="40% - Accent1 2 2 2 2 2" xfId="2172" xr:uid="{00000000-0005-0000-0000-000069080000}"/>
    <cellStyle name="40% - Accent1 2 2 2 3" xfId="2173" xr:uid="{00000000-0005-0000-0000-00006A080000}"/>
    <cellStyle name="40% - Accent1 2 2 2 3 2" xfId="2174" xr:uid="{00000000-0005-0000-0000-00006B080000}"/>
    <cellStyle name="40% - Accent1 2 2 2 4" xfId="2175" xr:uid="{00000000-0005-0000-0000-00006C080000}"/>
    <cellStyle name="40% - Accent1 2 2 2 4 2" xfId="2176" xr:uid="{00000000-0005-0000-0000-00006D080000}"/>
    <cellStyle name="40% - Accent1 2 2 2 5" xfId="2177" xr:uid="{00000000-0005-0000-0000-00006E080000}"/>
    <cellStyle name="40% - Accent1 2 2 2 5 2" xfId="2178" xr:uid="{00000000-0005-0000-0000-00006F080000}"/>
    <cellStyle name="40% - Accent1 2 2 2 6" xfId="2179" xr:uid="{00000000-0005-0000-0000-000070080000}"/>
    <cellStyle name="40% - Accent1 2 2 3" xfId="2180" xr:uid="{00000000-0005-0000-0000-000071080000}"/>
    <cellStyle name="40% - Accent1 2 2 3 2" xfId="2181" xr:uid="{00000000-0005-0000-0000-000072080000}"/>
    <cellStyle name="40% - Accent1 2 2 3 2 2" xfId="2182" xr:uid="{00000000-0005-0000-0000-000073080000}"/>
    <cellStyle name="40% - Accent1 2 2 3 3" xfId="2183" xr:uid="{00000000-0005-0000-0000-000074080000}"/>
    <cellStyle name="40% - Accent1 2 2 3 3 2" xfId="2184" xr:uid="{00000000-0005-0000-0000-000075080000}"/>
    <cellStyle name="40% - Accent1 2 2 3 4" xfId="2185" xr:uid="{00000000-0005-0000-0000-000076080000}"/>
    <cellStyle name="40% - Accent1 2 2 3 4 2" xfId="2186" xr:uid="{00000000-0005-0000-0000-000077080000}"/>
    <cellStyle name="40% - Accent1 2 2 3 5" xfId="2187" xr:uid="{00000000-0005-0000-0000-000078080000}"/>
    <cellStyle name="40% - Accent1 2 2 3 5 2" xfId="2188" xr:uid="{00000000-0005-0000-0000-000079080000}"/>
    <cellStyle name="40% - Accent1 2 2 3 6" xfId="2189" xr:uid="{00000000-0005-0000-0000-00007A080000}"/>
    <cellStyle name="40% - Accent1 2 2 4" xfId="2190" xr:uid="{00000000-0005-0000-0000-00007B080000}"/>
    <cellStyle name="40% - Accent1 2 2 4 2" xfId="2191" xr:uid="{00000000-0005-0000-0000-00007C080000}"/>
    <cellStyle name="40% - Accent1 2 2 5" xfId="2192" xr:uid="{00000000-0005-0000-0000-00007D080000}"/>
    <cellStyle name="40% - Accent1 2 2 5 2" xfId="2193" xr:uid="{00000000-0005-0000-0000-00007E080000}"/>
    <cellStyle name="40% - Accent1 2 2 6" xfId="2194" xr:uid="{00000000-0005-0000-0000-00007F080000}"/>
    <cellStyle name="40% - Accent1 2 2 6 2" xfId="2195" xr:uid="{00000000-0005-0000-0000-000080080000}"/>
    <cellStyle name="40% - Accent1 2 2 7" xfId="2196" xr:uid="{00000000-0005-0000-0000-000081080000}"/>
    <cellStyle name="40% - Accent1 2 2 7 2" xfId="2197" xr:uid="{00000000-0005-0000-0000-000082080000}"/>
    <cellStyle name="40% - Accent1 2 2 8" xfId="2198" xr:uid="{00000000-0005-0000-0000-000083080000}"/>
    <cellStyle name="40% - Accent1 2 2 8 2" xfId="2199" xr:uid="{00000000-0005-0000-0000-000084080000}"/>
    <cellStyle name="40% - Accent1 2 2 9" xfId="2200" xr:uid="{00000000-0005-0000-0000-000085080000}"/>
    <cellStyle name="40% - Accent1 2 2 9 2" xfId="2201" xr:uid="{00000000-0005-0000-0000-000086080000}"/>
    <cellStyle name="40% - Accent1 2 3" xfId="2202" xr:uid="{00000000-0005-0000-0000-000087080000}"/>
    <cellStyle name="40% - Accent1 2 3 2" xfId="2203" xr:uid="{00000000-0005-0000-0000-000088080000}"/>
    <cellStyle name="40% - Accent1 2 3 2 2" xfId="2204" xr:uid="{00000000-0005-0000-0000-000089080000}"/>
    <cellStyle name="40% - Accent1 2 3 3" xfId="2205" xr:uid="{00000000-0005-0000-0000-00008A080000}"/>
    <cellStyle name="40% - Accent1 2 3 3 2" xfId="2206" xr:uid="{00000000-0005-0000-0000-00008B080000}"/>
    <cellStyle name="40% - Accent1 2 3 4" xfId="2207" xr:uid="{00000000-0005-0000-0000-00008C080000}"/>
    <cellStyle name="40% - Accent1 2 3 4 2" xfId="2208" xr:uid="{00000000-0005-0000-0000-00008D080000}"/>
    <cellStyle name="40% - Accent1 2 3 5" xfId="2209" xr:uid="{00000000-0005-0000-0000-00008E080000}"/>
    <cellStyle name="40% - Accent1 2 3 5 2" xfId="2210" xr:uid="{00000000-0005-0000-0000-00008F080000}"/>
    <cellStyle name="40% - Accent1 2 3 6" xfId="2211" xr:uid="{00000000-0005-0000-0000-000090080000}"/>
    <cellStyle name="40% - Accent1 2 4" xfId="2212" xr:uid="{00000000-0005-0000-0000-000091080000}"/>
    <cellStyle name="40% - Accent1 2 4 2" xfId="2213" xr:uid="{00000000-0005-0000-0000-000092080000}"/>
    <cellStyle name="40% - Accent1 2 4 2 2" xfId="2214" xr:uid="{00000000-0005-0000-0000-000093080000}"/>
    <cellStyle name="40% - Accent1 2 4 3" xfId="2215" xr:uid="{00000000-0005-0000-0000-000094080000}"/>
    <cellStyle name="40% - Accent1 2 4 3 2" xfId="2216" xr:uid="{00000000-0005-0000-0000-000095080000}"/>
    <cellStyle name="40% - Accent1 2 4 4" xfId="2217" xr:uid="{00000000-0005-0000-0000-000096080000}"/>
    <cellStyle name="40% - Accent1 2 4 4 2" xfId="2218" xr:uid="{00000000-0005-0000-0000-000097080000}"/>
    <cellStyle name="40% - Accent1 2 4 5" xfId="2219" xr:uid="{00000000-0005-0000-0000-000098080000}"/>
    <cellStyle name="40% - Accent1 2 4 5 2" xfId="2220" xr:uid="{00000000-0005-0000-0000-000099080000}"/>
    <cellStyle name="40% - Accent1 2 4 6" xfId="2221" xr:uid="{00000000-0005-0000-0000-00009A080000}"/>
    <cellStyle name="40% - Accent1 2 5" xfId="2222" xr:uid="{00000000-0005-0000-0000-00009B080000}"/>
    <cellStyle name="40% - Accent1 2 5 2" xfId="2223" xr:uid="{00000000-0005-0000-0000-00009C080000}"/>
    <cellStyle name="40% - Accent1 2 6" xfId="2224" xr:uid="{00000000-0005-0000-0000-00009D080000}"/>
    <cellStyle name="40% - Accent1 2 6 2" xfId="2225" xr:uid="{00000000-0005-0000-0000-00009E080000}"/>
    <cellStyle name="40% - Accent1 2 7" xfId="2226" xr:uid="{00000000-0005-0000-0000-00009F080000}"/>
    <cellStyle name="40% - Accent1 2 7 2" xfId="2227" xr:uid="{00000000-0005-0000-0000-0000A0080000}"/>
    <cellStyle name="40% - Accent1 2 8" xfId="2228" xr:uid="{00000000-0005-0000-0000-0000A1080000}"/>
    <cellStyle name="40% - Accent1 2 8 2" xfId="2229" xr:uid="{00000000-0005-0000-0000-0000A2080000}"/>
    <cellStyle name="40% - Accent1 2 9" xfId="2230" xr:uid="{00000000-0005-0000-0000-0000A3080000}"/>
    <cellStyle name="40% - Accent1 2 9 2" xfId="2231" xr:uid="{00000000-0005-0000-0000-0000A4080000}"/>
    <cellStyle name="40% - Accent1 20" xfId="2232" xr:uid="{00000000-0005-0000-0000-0000A5080000}"/>
    <cellStyle name="40% - Accent1 20 2" xfId="2233" xr:uid="{00000000-0005-0000-0000-0000A6080000}"/>
    <cellStyle name="40% - Accent1 3" xfId="2234" xr:uid="{00000000-0005-0000-0000-0000A7080000}"/>
    <cellStyle name="40% - Accent1 3 10" xfId="2235" xr:uid="{00000000-0005-0000-0000-0000A8080000}"/>
    <cellStyle name="40% - Accent1 3 10 2" xfId="2236" xr:uid="{00000000-0005-0000-0000-0000A9080000}"/>
    <cellStyle name="40% - Accent1 3 11" xfId="2237" xr:uid="{00000000-0005-0000-0000-0000AA080000}"/>
    <cellStyle name="40% - Accent1 3 2" xfId="2238" xr:uid="{00000000-0005-0000-0000-0000AB080000}"/>
    <cellStyle name="40% - Accent1 3 2 10" xfId="2239" xr:uid="{00000000-0005-0000-0000-0000AC080000}"/>
    <cellStyle name="40% - Accent1 3 2 2" xfId="2240" xr:uid="{00000000-0005-0000-0000-0000AD080000}"/>
    <cellStyle name="40% - Accent1 3 2 2 2" xfId="2241" xr:uid="{00000000-0005-0000-0000-0000AE080000}"/>
    <cellStyle name="40% - Accent1 3 2 2 2 2" xfId="2242" xr:uid="{00000000-0005-0000-0000-0000AF080000}"/>
    <cellStyle name="40% - Accent1 3 2 2 3" xfId="2243" xr:uid="{00000000-0005-0000-0000-0000B0080000}"/>
    <cellStyle name="40% - Accent1 3 2 2 3 2" xfId="2244" xr:uid="{00000000-0005-0000-0000-0000B1080000}"/>
    <cellStyle name="40% - Accent1 3 2 2 4" xfId="2245" xr:uid="{00000000-0005-0000-0000-0000B2080000}"/>
    <cellStyle name="40% - Accent1 3 2 2 4 2" xfId="2246" xr:uid="{00000000-0005-0000-0000-0000B3080000}"/>
    <cellStyle name="40% - Accent1 3 2 2 5" xfId="2247" xr:uid="{00000000-0005-0000-0000-0000B4080000}"/>
    <cellStyle name="40% - Accent1 3 2 2 5 2" xfId="2248" xr:uid="{00000000-0005-0000-0000-0000B5080000}"/>
    <cellStyle name="40% - Accent1 3 2 2 6" xfId="2249" xr:uid="{00000000-0005-0000-0000-0000B6080000}"/>
    <cellStyle name="40% - Accent1 3 2 3" xfId="2250" xr:uid="{00000000-0005-0000-0000-0000B7080000}"/>
    <cellStyle name="40% - Accent1 3 2 3 2" xfId="2251" xr:uid="{00000000-0005-0000-0000-0000B8080000}"/>
    <cellStyle name="40% - Accent1 3 2 3 2 2" xfId="2252" xr:uid="{00000000-0005-0000-0000-0000B9080000}"/>
    <cellStyle name="40% - Accent1 3 2 3 3" xfId="2253" xr:uid="{00000000-0005-0000-0000-0000BA080000}"/>
    <cellStyle name="40% - Accent1 3 2 3 3 2" xfId="2254" xr:uid="{00000000-0005-0000-0000-0000BB080000}"/>
    <cellStyle name="40% - Accent1 3 2 3 4" xfId="2255" xr:uid="{00000000-0005-0000-0000-0000BC080000}"/>
    <cellStyle name="40% - Accent1 3 2 3 4 2" xfId="2256" xr:uid="{00000000-0005-0000-0000-0000BD080000}"/>
    <cellStyle name="40% - Accent1 3 2 3 5" xfId="2257" xr:uid="{00000000-0005-0000-0000-0000BE080000}"/>
    <cellStyle name="40% - Accent1 3 2 3 5 2" xfId="2258" xr:uid="{00000000-0005-0000-0000-0000BF080000}"/>
    <cellStyle name="40% - Accent1 3 2 3 6" xfId="2259" xr:uid="{00000000-0005-0000-0000-0000C0080000}"/>
    <cellStyle name="40% - Accent1 3 2 4" xfId="2260" xr:uid="{00000000-0005-0000-0000-0000C1080000}"/>
    <cellStyle name="40% - Accent1 3 2 4 2" xfId="2261" xr:uid="{00000000-0005-0000-0000-0000C2080000}"/>
    <cellStyle name="40% - Accent1 3 2 5" xfId="2262" xr:uid="{00000000-0005-0000-0000-0000C3080000}"/>
    <cellStyle name="40% - Accent1 3 2 5 2" xfId="2263" xr:uid="{00000000-0005-0000-0000-0000C4080000}"/>
    <cellStyle name="40% - Accent1 3 2 6" xfId="2264" xr:uid="{00000000-0005-0000-0000-0000C5080000}"/>
    <cellStyle name="40% - Accent1 3 2 6 2" xfId="2265" xr:uid="{00000000-0005-0000-0000-0000C6080000}"/>
    <cellStyle name="40% - Accent1 3 2 7" xfId="2266" xr:uid="{00000000-0005-0000-0000-0000C7080000}"/>
    <cellStyle name="40% - Accent1 3 2 7 2" xfId="2267" xr:uid="{00000000-0005-0000-0000-0000C8080000}"/>
    <cellStyle name="40% - Accent1 3 2 8" xfId="2268" xr:uid="{00000000-0005-0000-0000-0000C9080000}"/>
    <cellStyle name="40% - Accent1 3 2 8 2" xfId="2269" xr:uid="{00000000-0005-0000-0000-0000CA080000}"/>
    <cellStyle name="40% - Accent1 3 2 9" xfId="2270" xr:uid="{00000000-0005-0000-0000-0000CB080000}"/>
    <cellStyle name="40% - Accent1 3 2 9 2" xfId="2271" xr:uid="{00000000-0005-0000-0000-0000CC080000}"/>
    <cellStyle name="40% - Accent1 3 3" xfId="2272" xr:uid="{00000000-0005-0000-0000-0000CD080000}"/>
    <cellStyle name="40% - Accent1 3 3 2" xfId="2273" xr:uid="{00000000-0005-0000-0000-0000CE080000}"/>
    <cellStyle name="40% - Accent1 3 3 2 2" xfId="2274" xr:uid="{00000000-0005-0000-0000-0000CF080000}"/>
    <cellStyle name="40% - Accent1 3 3 3" xfId="2275" xr:uid="{00000000-0005-0000-0000-0000D0080000}"/>
    <cellStyle name="40% - Accent1 3 3 3 2" xfId="2276" xr:uid="{00000000-0005-0000-0000-0000D1080000}"/>
    <cellStyle name="40% - Accent1 3 3 4" xfId="2277" xr:uid="{00000000-0005-0000-0000-0000D2080000}"/>
    <cellStyle name="40% - Accent1 3 3 4 2" xfId="2278" xr:uid="{00000000-0005-0000-0000-0000D3080000}"/>
    <cellStyle name="40% - Accent1 3 3 5" xfId="2279" xr:uid="{00000000-0005-0000-0000-0000D4080000}"/>
    <cellStyle name="40% - Accent1 3 3 5 2" xfId="2280" xr:uid="{00000000-0005-0000-0000-0000D5080000}"/>
    <cellStyle name="40% - Accent1 3 3 6" xfId="2281" xr:uid="{00000000-0005-0000-0000-0000D6080000}"/>
    <cellStyle name="40% - Accent1 3 4" xfId="2282" xr:uid="{00000000-0005-0000-0000-0000D7080000}"/>
    <cellStyle name="40% - Accent1 3 4 2" xfId="2283" xr:uid="{00000000-0005-0000-0000-0000D8080000}"/>
    <cellStyle name="40% - Accent1 3 4 2 2" xfId="2284" xr:uid="{00000000-0005-0000-0000-0000D9080000}"/>
    <cellStyle name="40% - Accent1 3 4 3" xfId="2285" xr:uid="{00000000-0005-0000-0000-0000DA080000}"/>
    <cellStyle name="40% - Accent1 3 4 3 2" xfId="2286" xr:uid="{00000000-0005-0000-0000-0000DB080000}"/>
    <cellStyle name="40% - Accent1 3 4 4" xfId="2287" xr:uid="{00000000-0005-0000-0000-0000DC080000}"/>
    <cellStyle name="40% - Accent1 3 4 4 2" xfId="2288" xr:uid="{00000000-0005-0000-0000-0000DD080000}"/>
    <cellStyle name="40% - Accent1 3 4 5" xfId="2289" xr:uid="{00000000-0005-0000-0000-0000DE080000}"/>
    <cellStyle name="40% - Accent1 3 4 5 2" xfId="2290" xr:uid="{00000000-0005-0000-0000-0000DF080000}"/>
    <cellStyle name="40% - Accent1 3 4 6" xfId="2291" xr:uid="{00000000-0005-0000-0000-0000E0080000}"/>
    <cellStyle name="40% - Accent1 3 5" xfId="2292" xr:uid="{00000000-0005-0000-0000-0000E1080000}"/>
    <cellStyle name="40% - Accent1 3 5 2" xfId="2293" xr:uid="{00000000-0005-0000-0000-0000E2080000}"/>
    <cellStyle name="40% - Accent1 3 6" xfId="2294" xr:uid="{00000000-0005-0000-0000-0000E3080000}"/>
    <cellStyle name="40% - Accent1 3 6 2" xfId="2295" xr:uid="{00000000-0005-0000-0000-0000E4080000}"/>
    <cellStyle name="40% - Accent1 3 7" xfId="2296" xr:uid="{00000000-0005-0000-0000-0000E5080000}"/>
    <cellStyle name="40% - Accent1 3 7 2" xfId="2297" xr:uid="{00000000-0005-0000-0000-0000E6080000}"/>
    <cellStyle name="40% - Accent1 3 8" xfId="2298" xr:uid="{00000000-0005-0000-0000-0000E7080000}"/>
    <cellStyle name="40% - Accent1 3 8 2" xfId="2299" xr:uid="{00000000-0005-0000-0000-0000E8080000}"/>
    <cellStyle name="40% - Accent1 3 9" xfId="2300" xr:uid="{00000000-0005-0000-0000-0000E9080000}"/>
    <cellStyle name="40% - Accent1 3 9 2" xfId="2301" xr:uid="{00000000-0005-0000-0000-0000EA080000}"/>
    <cellStyle name="40% - Accent1 4" xfId="2302" xr:uid="{00000000-0005-0000-0000-0000EB080000}"/>
    <cellStyle name="40% - Accent1 4 10" xfId="2303" xr:uid="{00000000-0005-0000-0000-0000EC080000}"/>
    <cellStyle name="40% - Accent1 4 10 2" xfId="2304" xr:uid="{00000000-0005-0000-0000-0000ED080000}"/>
    <cellStyle name="40% - Accent1 4 11" xfId="2305" xr:uid="{00000000-0005-0000-0000-0000EE080000}"/>
    <cellStyle name="40% - Accent1 4 2" xfId="2306" xr:uid="{00000000-0005-0000-0000-0000EF080000}"/>
    <cellStyle name="40% - Accent1 4 2 10" xfId="2307" xr:uid="{00000000-0005-0000-0000-0000F0080000}"/>
    <cellStyle name="40% - Accent1 4 2 2" xfId="2308" xr:uid="{00000000-0005-0000-0000-0000F1080000}"/>
    <cellStyle name="40% - Accent1 4 2 2 2" xfId="2309" xr:uid="{00000000-0005-0000-0000-0000F2080000}"/>
    <cellStyle name="40% - Accent1 4 2 2 2 2" xfId="2310" xr:uid="{00000000-0005-0000-0000-0000F3080000}"/>
    <cellStyle name="40% - Accent1 4 2 2 3" xfId="2311" xr:uid="{00000000-0005-0000-0000-0000F4080000}"/>
    <cellStyle name="40% - Accent1 4 2 2 3 2" xfId="2312" xr:uid="{00000000-0005-0000-0000-0000F5080000}"/>
    <cellStyle name="40% - Accent1 4 2 2 4" xfId="2313" xr:uid="{00000000-0005-0000-0000-0000F6080000}"/>
    <cellStyle name="40% - Accent1 4 2 2 4 2" xfId="2314" xr:uid="{00000000-0005-0000-0000-0000F7080000}"/>
    <cellStyle name="40% - Accent1 4 2 2 5" xfId="2315" xr:uid="{00000000-0005-0000-0000-0000F8080000}"/>
    <cellStyle name="40% - Accent1 4 2 2 5 2" xfId="2316" xr:uid="{00000000-0005-0000-0000-0000F9080000}"/>
    <cellStyle name="40% - Accent1 4 2 2 6" xfId="2317" xr:uid="{00000000-0005-0000-0000-0000FA080000}"/>
    <cellStyle name="40% - Accent1 4 2 3" xfId="2318" xr:uid="{00000000-0005-0000-0000-0000FB080000}"/>
    <cellStyle name="40% - Accent1 4 2 3 2" xfId="2319" xr:uid="{00000000-0005-0000-0000-0000FC080000}"/>
    <cellStyle name="40% - Accent1 4 2 3 2 2" xfId="2320" xr:uid="{00000000-0005-0000-0000-0000FD080000}"/>
    <cellStyle name="40% - Accent1 4 2 3 3" xfId="2321" xr:uid="{00000000-0005-0000-0000-0000FE080000}"/>
    <cellStyle name="40% - Accent1 4 2 3 3 2" xfId="2322" xr:uid="{00000000-0005-0000-0000-0000FF080000}"/>
    <cellStyle name="40% - Accent1 4 2 3 4" xfId="2323" xr:uid="{00000000-0005-0000-0000-000000090000}"/>
    <cellStyle name="40% - Accent1 4 2 3 4 2" xfId="2324" xr:uid="{00000000-0005-0000-0000-000001090000}"/>
    <cellStyle name="40% - Accent1 4 2 3 5" xfId="2325" xr:uid="{00000000-0005-0000-0000-000002090000}"/>
    <cellStyle name="40% - Accent1 4 2 3 5 2" xfId="2326" xr:uid="{00000000-0005-0000-0000-000003090000}"/>
    <cellStyle name="40% - Accent1 4 2 3 6" xfId="2327" xr:uid="{00000000-0005-0000-0000-000004090000}"/>
    <cellStyle name="40% - Accent1 4 2 4" xfId="2328" xr:uid="{00000000-0005-0000-0000-000005090000}"/>
    <cellStyle name="40% - Accent1 4 2 4 2" xfId="2329" xr:uid="{00000000-0005-0000-0000-000006090000}"/>
    <cellStyle name="40% - Accent1 4 2 5" xfId="2330" xr:uid="{00000000-0005-0000-0000-000007090000}"/>
    <cellStyle name="40% - Accent1 4 2 5 2" xfId="2331" xr:uid="{00000000-0005-0000-0000-000008090000}"/>
    <cellStyle name="40% - Accent1 4 2 6" xfId="2332" xr:uid="{00000000-0005-0000-0000-000009090000}"/>
    <cellStyle name="40% - Accent1 4 2 6 2" xfId="2333" xr:uid="{00000000-0005-0000-0000-00000A090000}"/>
    <cellStyle name="40% - Accent1 4 2 7" xfId="2334" xr:uid="{00000000-0005-0000-0000-00000B090000}"/>
    <cellStyle name="40% - Accent1 4 2 7 2" xfId="2335" xr:uid="{00000000-0005-0000-0000-00000C090000}"/>
    <cellStyle name="40% - Accent1 4 2 8" xfId="2336" xr:uid="{00000000-0005-0000-0000-00000D090000}"/>
    <cellStyle name="40% - Accent1 4 2 8 2" xfId="2337" xr:uid="{00000000-0005-0000-0000-00000E090000}"/>
    <cellStyle name="40% - Accent1 4 2 9" xfId="2338" xr:uid="{00000000-0005-0000-0000-00000F090000}"/>
    <cellStyle name="40% - Accent1 4 2 9 2" xfId="2339" xr:uid="{00000000-0005-0000-0000-000010090000}"/>
    <cellStyle name="40% - Accent1 4 3" xfId="2340" xr:uid="{00000000-0005-0000-0000-000011090000}"/>
    <cellStyle name="40% - Accent1 4 3 2" xfId="2341" xr:uid="{00000000-0005-0000-0000-000012090000}"/>
    <cellStyle name="40% - Accent1 4 3 2 2" xfId="2342" xr:uid="{00000000-0005-0000-0000-000013090000}"/>
    <cellStyle name="40% - Accent1 4 3 3" xfId="2343" xr:uid="{00000000-0005-0000-0000-000014090000}"/>
    <cellStyle name="40% - Accent1 4 3 3 2" xfId="2344" xr:uid="{00000000-0005-0000-0000-000015090000}"/>
    <cellStyle name="40% - Accent1 4 3 4" xfId="2345" xr:uid="{00000000-0005-0000-0000-000016090000}"/>
    <cellStyle name="40% - Accent1 4 3 4 2" xfId="2346" xr:uid="{00000000-0005-0000-0000-000017090000}"/>
    <cellStyle name="40% - Accent1 4 3 5" xfId="2347" xr:uid="{00000000-0005-0000-0000-000018090000}"/>
    <cellStyle name="40% - Accent1 4 3 5 2" xfId="2348" xr:uid="{00000000-0005-0000-0000-000019090000}"/>
    <cellStyle name="40% - Accent1 4 3 6" xfId="2349" xr:uid="{00000000-0005-0000-0000-00001A090000}"/>
    <cellStyle name="40% - Accent1 4 4" xfId="2350" xr:uid="{00000000-0005-0000-0000-00001B090000}"/>
    <cellStyle name="40% - Accent1 4 4 2" xfId="2351" xr:uid="{00000000-0005-0000-0000-00001C090000}"/>
    <cellStyle name="40% - Accent1 4 4 2 2" xfId="2352" xr:uid="{00000000-0005-0000-0000-00001D090000}"/>
    <cellStyle name="40% - Accent1 4 4 3" xfId="2353" xr:uid="{00000000-0005-0000-0000-00001E090000}"/>
    <cellStyle name="40% - Accent1 4 4 3 2" xfId="2354" xr:uid="{00000000-0005-0000-0000-00001F090000}"/>
    <cellStyle name="40% - Accent1 4 4 4" xfId="2355" xr:uid="{00000000-0005-0000-0000-000020090000}"/>
    <cellStyle name="40% - Accent1 4 4 4 2" xfId="2356" xr:uid="{00000000-0005-0000-0000-000021090000}"/>
    <cellStyle name="40% - Accent1 4 4 5" xfId="2357" xr:uid="{00000000-0005-0000-0000-000022090000}"/>
    <cellStyle name="40% - Accent1 4 4 5 2" xfId="2358" xr:uid="{00000000-0005-0000-0000-000023090000}"/>
    <cellStyle name="40% - Accent1 4 4 6" xfId="2359" xr:uid="{00000000-0005-0000-0000-000024090000}"/>
    <cellStyle name="40% - Accent1 4 5" xfId="2360" xr:uid="{00000000-0005-0000-0000-000025090000}"/>
    <cellStyle name="40% - Accent1 4 5 2" xfId="2361" xr:uid="{00000000-0005-0000-0000-000026090000}"/>
    <cellStyle name="40% - Accent1 4 6" xfId="2362" xr:uid="{00000000-0005-0000-0000-000027090000}"/>
    <cellStyle name="40% - Accent1 4 6 2" xfId="2363" xr:uid="{00000000-0005-0000-0000-000028090000}"/>
    <cellStyle name="40% - Accent1 4 7" xfId="2364" xr:uid="{00000000-0005-0000-0000-000029090000}"/>
    <cellStyle name="40% - Accent1 4 7 2" xfId="2365" xr:uid="{00000000-0005-0000-0000-00002A090000}"/>
    <cellStyle name="40% - Accent1 4 8" xfId="2366" xr:uid="{00000000-0005-0000-0000-00002B090000}"/>
    <cellStyle name="40% - Accent1 4 8 2" xfId="2367" xr:uid="{00000000-0005-0000-0000-00002C090000}"/>
    <cellStyle name="40% - Accent1 4 9" xfId="2368" xr:uid="{00000000-0005-0000-0000-00002D090000}"/>
    <cellStyle name="40% - Accent1 4 9 2" xfId="2369" xr:uid="{00000000-0005-0000-0000-00002E090000}"/>
    <cellStyle name="40% - Accent1 5" xfId="2370" xr:uid="{00000000-0005-0000-0000-00002F090000}"/>
    <cellStyle name="40% - Accent1 5 10" xfId="2371" xr:uid="{00000000-0005-0000-0000-000030090000}"/>
    <cellStyle name="40% - Accent1 5 2" xfId="2372" xr:uid="{00000000-0005-0000-0000-000031090000}"/>
    <cellStyle name="40% - Accent1 5 2 2" xfId="2373" xr:uid="{00000000-0005-0000-0000-000032090000}"/>
    <cellStyle name="40% - Accent1 5 2 2 2" xfId="2374" xr:uid="{00000000-0005-0000-0000-000033090000}"/>
    <cellStyle name="40% - Accent1 5 2 3" xfId="2375" xr:uid="{00000000-0005-0000-0000-000034090000}"/>
    <cellStyle name="40% - Accent1 5 2 3 2" xfId="2376" xr:uid="{00000000-0005-0000-0000-000035090000}"/>
    <cellStyle name="40% - Accent1 5 2 4" xfId="2377" xr:uid="{00000000-0005-0000-0000-000036090000}"/>
    <cellStyle name="40% - Accent1 5 2 4 2" xfId="2378" xr:uid="{00000000-0005-0000-0000-000037090000}"/>
    <cellStyle name="40% - Accent1 5 2 5" xfId="2379" xr:uid="{00000000-0005-0000-0000-000038090000}"/>
    <cellStyle name="40% - Accent1 5 2 5 2" xfId="2380" xr:uid="{00000000-0005-0000-0000-000039090000}"/>
    <cellStyle name="40% - Accent1 5 2 6" xfId="2381" xr:uid="{00000000-0005-0000-0000-00003A090000}"/>
    <cellStyle name="40% - Accent1 5 3" xfId="2382" xr:uid="{00000000-0005-0000-0000-00003B090000}"/>
    <cellStyle name="40% - Accent1 5 3 2" xfId="2383" xr:uid="{00000000-0005-0000-0000-00003C090000}"/>
    <cellStyle name="40% - Accent1 5 3 2 2" xfId="2384" xr:uid="{00000000-0005-0000-0000-00003D090000}"/>
    <cellStyle name="40% - Accent1 5 3 3" xfId="2385" xr:uid="{00000000-0005-0000-0000-00003E090000}"/>
    <cellStyle name="40% - Accent1 5 3 3 2" xfId="2386" xr:uid="{00000000-0005-0000-0000-00003F090000}"/>
    <cellStyle name="40% - Accent1 5 3 4" xfId="2387" xr:uid="{00000000-0005-0000-0000-000040090000}"/>
    <cellStyle name="40% - Accent1 5 3 4 2" xfId="2388" xr:uid="{00000000-0005-0000-0000-000041090000}"/>
    <cellStyle name="40% - Accent1 5 3 5" xfId="2389" xr:uid="{00000000-0005-0000-0000-000042090000}"/>
    <cellStyle name="40% - Accent1 5 3 5 2" xfId="2390" xr:uid="{00000000-0005-0000-0000-000043090000}"/>
    <cellStyle name="40% - Accent1 5 3 6" xfId="2391" xr:uid="{00000000-0005-0000-0000-000044090000}"/>
    <cellStyle name="40% - Accent1 5 4" xfId="2392" xr:uid="{00000000-0005-0000-0000-000045090000}"/>
    <cellStyle name="40% - Accent1 5 4 2" xfId="2393" xr:uid="{00000000-0005-0000-0000-000046090000}"/>
    <cellStyle name="40% - Accent1 5 5" xfId="2394" xr:uid="{00000000-0005-0000-0000-000047090000}"/>
    <cellStyle name="40% - Accent1 5 5 2" xfId="2395" xr:uid="{00000000-0005-0000-0000-000048090000}"/>
    <cellStyle name="40% - Accent1 5 6" xfId="2396" xr:uid="{00000000-0005-0000-0000-000049090000}"/>
    <cellStyle name="40% - Accent1 5 6 2" xfId="2397" xr:uid="{00000000-0005-0000-0000-00004A090000}"/>
    <cellStyle name="40% - Accent1 5 7" xfId="2398" xr:uid="{00000000-0005-0000-0000-00004B090000}"/>
    <cellStyle name="40% - Accent1 5 7 2" xfId="2399" xr:uid="{00000000-0005-0000-0000-00004C090000}"/>
    <cellStyle name="40% - Accent1 5 8" xfId="2400" xr:uid="{00000000-0005-0000-0000-00004D090000}"/>
    <cellStyle name="40% - Accent1 5 8 2" xfId="2401" xr:uid="{00000000-0005-0000-0000-00004E090000}"/>
    <cellStyle name="40% - Accent1 5 9" xfId="2402" xr:uid="{00000000-0005-0000-0000-00004F090000}"/>
    <cellStyle name="40% - Accent1 5 9 2" xfId="2403" xr:uid="{00000000-0005-0000-0000-000050090000}"/>
    <cellStyle name="40% - Accent1 6" xfId="2404" xr:uid="{00000000-0005-0000-0000-000051090000}"/>
    <cellStyle name="40% - Accent1 6 10" xfId="2405" xr:uid="{00000000-0005-0000-0000-000052090000}"/>
    <cellStyle name="40% - Accent1 6 2" xfId="2406" xr:uid="{00000000-0005-0000-0000-000053090000}"/>
    <cellStyle name="40% - Accent1 6 2 2" xfId="2407" xr:uid="{00000000-0005-0000-0000-000054090000}"/>
    <cellStyle name="40% - Accent1 6 2 2 2" xfId="2408" xr:uid="{00000000-0005-0000-0000-000055090000}"/>
    <cellStyle name="40% - Accent1 6 2 3" xfId="2409" xr:uid="{00000000-0005-0000-0000-000056090000}"/>
    <cellStyle name="40% - Accent1 6 2 3 2" xfId="2410" xr:uid="{00000000-0005-0000-0000-000057090000}"/>
    <cellStyle name="40% - Accent1 6 2 4" xfId="2411" xr:uid="{00000000-0005-0000-0000-000058090000}"/>
    <cellStyle name="40% - Accent1 6 2 4 2" xfId="2412" xr:uid="{00000000-0005-0000-0000-000059090000}"/>
    <cellStyle name="40% - Accent1 6 2 5" xfId="2413" xr:uid="{00000000-0005-0000-0000-00005A090000}"/>
    <cellStyle name="40% - Accent1 6 2 5 2" xfId="2414" xr:uid="{00000000-0005-0000-0000-00005B090000}"/>
    <cellStyle name="40% - Accent1 6 2 6" xfId="2415" xr:uid="{00000000-0005-0000-0000-00005C090000}"/>
    <cellStyle name="40% - Accent1 6 3" xfId="2416" xr:uid="{00000000-0005-0000-0000-00005D090000}"/>
    <cellStyle name="40% - Accent1 6 3 2" xfId="2417" xr:uid="{00000000-0005-0000-0000-00005E090000}"/>
    <cellStyle name="40% - Accent1 6 3 2 2" xfId="2418" xr:uid="{00000000-0005-0000-0000-00005F090000}"/>
    <cellStyle name="40% - Accent1 6 3 3" xfId="2419" xr:uid="{00000000-0005-0000-0000-000060090000}"/>
    <cellStyle name="40% - Accent1 6 3 3 2" xfId="2420" xr:uid="{00000000-0005-0000-0000-000061090000}"/>
    <cellStyle name="40% - Accent1 6 3 4" xfId="2421" xr:uid="{00000000-0005-0000-0000-000062090000}"/>
    <cellStyle name="40% - Accent1 6 3 4 2" xfId="2422" xr:uid="{00000000-0005-0000-0000-000063090000}"/>
    <cellStyle name="40% - Accent1 6 3 5" xfId="2423" xr:uid="{00000000-0005-0000-0000-000064090000}"/>
    <cellStyle name="40% - Accent1 6 3 5 2" xfId="2424" xr:uid="{00000000-0005-0000-0000-000065090000}"/>
    <cellStyle name="40% - Accent1 6 3 6" xfId="2425" xr:uid="{00000000-0005-0000-0000-000066090000}"/>
    <cellStyle name="40% - Accent1 6 4" xfId="2426" xr:uid="{00000000-0005-0000-0000-000067090000}"/>
    <cellStyle name="40% - Accent1 6 4 2" xfId="2427" xr:uid="{00000000-0005-0000-0000-000068090000}"/>
    <cellStyle name="40% - Accent1 6 5" xfId="2428" xr:uid="{00000000-0005-0000-0000-000069090000}"/>
    <cellStyle name="40% - Accent1 6 5 2" xfId="2429" xr:uid="{00000000-0005-0000-0000-00006A090000}"/>
    <cellStyle name="40% - Accent1 6 6" xfId="2430" xr:uid="{00000000-0005-0000-0000-00006B090000}"/>
    <cellStyle name="40% - Accent1 6 6 2" xfId="2431" xr:uid="{00000000-0005-0000-0000-00006C090000}"/>
    <cellStyle name="40% - Accent1 6 7" xfId="2432" xr:uid="{00000000-0005-0000-0000-00006D090000}"/>
    <cellStyle name="40% - Accent1 6 7 2" xfId="2433" xr:uid="{00000000-0005-0000-0000-00006E090000}"/>
    <cellStyle name="40% - Accent1 6 8" xfId="2434" xr:uid="{00000000-0005-0000-0000-00006F090000}"/>
    <cellStyle name="40% - Accent1 6 8 2" xfId="2435" xr:uid="{00000000-0005-0000-0000-000070090000}"/>
    <cellStyle name="40% - Accent1 6 9" xfId="2436" xr:uid="{00000000-0005-0000-0000-000071090000}"/>
    <cellStyle name="40% - Accent1 6 9 2" xfId="2437" xr:uid="{00000000-0005-0000-0000-000072090000}"/>
    <cellStyle name="40% - Accent1 7" xfId="2438" xr:uid="{00000000-0005-0000-0000-000073090000}"/>
    <cellStyle name="40% - Accent1 7 10" xfId="2439" xr:uid="{00000000-0005-0000-0000-000074090000}"/>
    <cellStyle name="40% - Accent1 7 2" xfId="2440" xr:uid="{00000000-0005-0000-0000-000075090000}"/>
    <cellStyle name="40% - Accent1 7 2 2" xfId="2441" xr:uid="{00000000-0005-0000-0000-000076090000}"/>
    <cellStyle name="40% - Accent1 7 2 2 2" xfId="2442" xr:uid="{00000000-0005-0000-0000-000077090000}"/>
    <cellStyle name="40% - Accent1 7 2 3" xfId="2443" xr:uid="{00000000-0005-0000-0000-000078090000}"/>
    <cellStyle name="40% - Accent1 7 2 3 2" xfId="2444" xr:uid="{00000000-0005-0000-0000-000079090000}"/>
    <cellStyle name="40% - Accent1 7 2 4" xfId="2445" xr:uid="{00000000-0005-0000-0000-00007A090000}"/>
    <cellStyle name="40% - Accent1 7 2 4 2" xfId="2446" xr:uid="{00000000-0005-0000-0000-00007B090000}"/>
    <cellStyle name="40% - Accent1 7 2 5" xfId="2447" xr:uid="{00000000-0005-0000-0000-00007C090000}"/>
    <cellStyle name="40% - Accent1 7 2 5 2" xfId="2448" xr:uid="{00000000-0005-0000-0000-00007D090000}"/>
    <cellStyle name="40% - Accent1 7 2 6" xfId="2449" xr:uid="{00000000-0005-0000-0000-00007E090000}"/>
    <cellStyle name="40% - Accent1 7 3" xfId="2450" xr:uid="{00000000-0005-0000-0000-00007F090000}"/>
    <cellStyle name="40% - Accent1 7 3 2" xfId="2451" xr:uid="{00000000-0005-0000-0000-000080090000}"/>
    <cellStyle name="40% - Accent1 7 3 2 2" xfId="2452" xr:uid="{00000000-0005-0000-0000-000081090000}"/>
    <cellStyle name="40% - Accent1 7 3 3" xfId="2453" xr:uid="{00000000-0005-0000-0000-000082090000}"/>
    <cellStyle name="40% - Accent1 7 3 3 2" xfId="2454" xr:uid="{00000000-0005-0000-0000-000083090000}"/>
    <cellStyle name="40% - Accent1 7 3 4" xfId="2455" xr:uid="{00000000-0005-0000-0000-000084090000}"/>
    <cellStyle name="40% - Accent1 7 3 4 2" xfId="2456" xr:uid="{00000000-0005-0000-0000-000085090000}"/>
    <cellStyle name="40% - Accent1 7 3 5" xfId="2457" xr:uid="{00000000-0005-0000-0000-000086090000}"/>
    <cellStyle name="40% - Accent1 7 3 5 2" xfId="2458" xr:uid="{00000000-0005-0000-0000-000087090000}"/>
    <cellStyle name="40% - Accent1 7 3 6" xfId="2459" xr:uid="{00000000-0005-0000-0000-000088090000}"/>
    <cellStyle name="40% - Accent1 7 4" xfId="2460" xr:uid="{00000000-0005-0000-0000-000089090000}"/>
    <cellStyle name="40% - Accent1 7 4 2" xfId="2461" xr:uid="{00000000-0005-0000-0000-00008A090000}"/>
    <cellStyle name="40% - Accent1 7 5" xfId="2462" xr:uid="{00000000-0005-0000-0000-00008B090000}"/>
    <cellStyle name="40% - Accent1 7 5 2" xfId="2463" xr:uid="{00000000-0005-0000-0000-00008C090000}"/>
    <cellStyle name="40% - Accent1 7 6" xfId="2464" xr:uid="{00000000-0005-0000-0000-00008D090000}"/>
    <cellStyle name="40% - Accent1 7 6 2" xfId="2465" xr:uid="{00000000-0005-0000-0000-00008E090000}"/>
    <cellStyle name="40% - Accent1 7 7" xfId="2466" xr:uid="{00000000-0005-0000-0000-00008F090000}"/>
    <cellStyle name="40% - Accent1 7 7 2" xfId="2467" xr:uid="{00000000-0005-0000-0000-000090090000}"/>
    <cellStyle name="40% - Accent1 7 8" xfId="2468" xr:uid="{00000000-0005-0000-0000-000091090000}"/>
    <cellStyle name="40% - Accent1 7 8 2" xfId="2469" xr:uid="{00000000-0005-0000-0000-000092090000}"/>
    <cellStyle name="40% - Accent1 7 9" xfId="2470" xr:uid="{00000000-0005-0000-0000-000093090000}"/>
    <cellStyle name="40% - Accent1 7 9 2" xfId="2471" xr:uid="{00000000-0005-0000-0000-000094090000}"/>
    <cellStyle name="40% - Accent1 8" xfId="2472" xr:uid="{00000000-0005-0000-0000-000095090000}"/>
    <cellStyle name="40% - Accent1 8 2" xfId="2473" xr:uid="{00000000-0005-0000-0000-000096090000}"/>
    <cellStyle name="40% - Accent1 8 2 2" xfId="2474" xr:uid="{00000000-0005-0000-0000-000097090000}"/>
    <cellStyle name="40% - Accent1 8 3" xfId="2475" xr:uid="{00000000-0005-0000-0000-000098090000}"/>
    <cellStyle name="40% - Accent1 8 3 2" xfId="2476" xr:uid="{00000000-0005-0000-0000-000099090000}"/>
    <cellStyle name="40% - Accent1 8 4" xfId="2477" xr:uid="{00000000-0005-0000-0000-00009A090000}"/>
    <cellStyle name="40% - Accent1 8 4 2" xfId="2478" xr:uid="{00000000-0005-0000-0000-00009B090000}"/>
    <cellStyle name="40% - Accent1 8 5" xfId="2479" xr:uid="{00000000-0005-0000-0000-00009C090000}"/>
    <cellStyle name="40% - Accent1 8 5 2" xfId="2480" xr:uid="{00000000-0005-0000-0000-00009D090000}"/>
    <cellStyle name="40% - Accent1 8 6" xfId="2481" xr:uid="{00000000-0005-0000-0000-00009E090000}"/>
    <cellStyle name="40% - Accent1 9" xfId="2482" xr:uid="{00000000-0005-0000-0000-00009F090000}"/>
    <cellStyle name="40% - Accent1 9 2" xfId="2483" xr:uid="{00000000-0005-0000-0000-0000A0090000}"/>
    <cellStyle name="40% - Accent1 9 2 2" xfId="2484" xr:uid="{00000000-0005-0000-0000-0000A1090000}"/>
    <cellStyle name="40% - Accent1 9 3" xfId="2485" xr:uid="{00000000-0005-0000-0000-0000A2090000}"/>
    <cellStyle name="40% - Accent1 9 3 2" xfId="2486" xr:uid="{00000000-0005-0000-0000-0000A3090000}"/>
    <cellStyle name="40% - Accent1 9 4" xfId="2487" xr:uid="{00000000-0005-0000-0000-0000A4090000}"/>
    <cellStyle name="40% - Accent1 9 4 2" xfId="2488" xr:uid="{00000000-0005-0000-0000-0000A5090000}"/>
    <cellStyle name="40% - Accent1 9 5" xfId="2489" xr:uid="{00000000-0005-0000-0000-0000A6090000}"/>
    <cellStyle name="40% - Accent1 9 5 2" xfId="2490" xr:uid="{00000000-0005-0000-0000-0000A7090000}"/>
    <cellStyle name="40% - Accent1 9 6" xfId="2491" xr:uid="{00000000-0005-0000-0000-0000A8090000}"/>
    <cellStyle name="40% - Accent2 10" xfId="2492" xr:uid="{00000000-0005-0000-0000-0000A9090000}"/>
    <cellStyle name="40% - Accent2 10 2" xfId="2493" xr:uid="{00000000-0005-0000-0000-0000AA090000}"/>
    <cellStyle name="40% - Accent2 10 2 2" xfId="2494" xr:uid="{00000000-0005-0000-0000-0000AB090000}"/>
    <cellStyle name="40% - Accent2 10 3" xfId="2495" xr:uid="{00000000-0005-0000-0000-0000AC090000}"/>
    <cellStyle name="40% - Accent2 10 3 2" xfId="2496" xr:uid="{00000000-0005-0000-0000-0000AD090000}"/>
    <cellStyle name="40% - Accent2 10 4" xfId="2497" xr:uid="{00000000-0005-0000-0000-0000AE090000}"/>
    <cellStyle name="40% - Accent2 11" xfId="2498" xr:uid="{00000000-0005-0000-0000-0000AF090000}"/>
    <cellStyle name="40% - Accent2 11 2" xfId="2499" xr:uid="{00000000-0005-0000-0000-0000B0090000}"/>
    <cellStyle name="40% - Accent2 12" xfId="2500" xr:uid="{00000000-0005-0000-0000-0000B1090000}"/>
    <cellStyle name="40% - Accent2 12 2" xfId="2501" xr:uid="{00000000-0005-0000-0000-0000B2090000}"/>
    <cellStyle name="40% - Accent2 13" xfId="2502" xr:uid="{00000000-0005-0000-0000-0000B3090000}"/>
    <cellStyle name="40% - Accent2 13 2" xfId="2503" xr:uid="{00000000-0005-0000-0000-0000B4090000}"/>
    <cellStyle name="40% - Accent2 14" xfId="2504" xr:uid="{00000000-0005-0000-0000-0000B5090000}"/>
    <cellStyle name="40% - Accent2 14 2" xfId="2505" xr:uid="{00000000-0005-0000-0000-0000B6090000}"/>
    <cellStyle name="40% - Accent2 15" xfId="2506" xr:uid="{00000000-0005-0000-0000-0000B7090000}"/>
    <cellStyle name="40% - Accent2 15 2" xfId="2507" xr:uid="{00000000-0005-0000-0000-0000B8090000}"/>
    <cellStyle name="40% - Accent2 16" xfId="2508" xr:uid="{00000000-0005-0000-0000-0000B9090000}"/>
    <cellStyle name="40% - Accent2 16 2" xfId="2509" xr:uid="{00000000-0005-0000-0000-0000BA090000}"/>
    <cellStyle name="40% - Accent2 17" xfId="2510" xr:uid="{00000000-0005-0000-0000-0000BB090000}"/>
    <cellStyle name="40% - Accent2 17 2" xfId="2511" xr:uid="{00000000-0005-0000-0000-0000BC090000}"/>
    <cellStyle name="40% - Accent2 18" xfId="2512" xr:uid="{00000000-0005-0000-0000-0000BD090000}"/>
    <cellStyle name="40% - Accent2 18 2" xfId="2513" xr:uid="{00000000-0005-0000-0000-0000BE090000}"/>
    <cellStyle name="40% - Accent2 19" xfId="2514" xr:uid="{00000000-0005-0000-0000-0000BF090000}"/>
    <cellStyle name="40% - Accent2 19 2" xfId="2515" xr:uid="{00000000-0005-0000-0000-0000C0090000}"/>
    <cellStyle name="40% - Accent2 2" xfId="2516" xr:uid="{00000000-0005-0000-0000-0000C1090000}"/>
    <cellStyle name="40% - Accent2 2 10" xfId="2517" xr:uid="{00000000-0005-0000-0000-0000C2090000}"/>
    <cellStyle name="40% - Accent2 2 10 2" xfId="2518" xr:uid="{00000000-0005-0000-0000-0000C3090000}"/>
    <cellStyle name="40% - Accent2 2 11" xfId="2519" xr:uid="{00000000-0005-0000-0000-0000C4090000}"/>
    <cellStyle name="40% - Accent2 2 2" xfId="2520" xr:uid="{00000000-0005-0000-0000-0000C5090000}"/>
    <cellStyle name="40% - Accent2 2 2 10" xfId="2521" xr:uid="{00000000-0005-0000-0000-0000C6090000}"/>
    <cellStyle name="40% - Accent2 2 2 2" xfId="2522" xr:uid="{00000000-0005-0000-0000-0000C7090000}"/>
    <cellStyle name="40% - Accent2 2 2 2 2" xfId="2523" xr:uid="{00000000-0005-0000-0000-0000C8090000}"/>
    <cellStyle name="40% - Accent2 2 2 2 2 2" xfId="2524" xr:uid="{00000000-0005-0000-0000-0000C9090000}"/>
    <cellStyle name="40% - Accent2 2 2 2 3" xfId="2525" xr:uid="{00000000-0005-0000-0000-0000CA090000}"/>
    <cellStyle name="40% - Accent2 2 2 2 3 2" xfId="2526" xr:uid="{00000000-0005-0000-0000-0000CB090000}"/>
    <cellStyle name="40% - Accent2 2 2 2 4" xfId="2527" xr:uid="{00000000-0005-0000-0000-0000CC090000}"/>
    <cellStyle name="40% - Accent2 2 2 2 4 2" xfId="2528" xr:uid="{00000000-0005-0000-0000-0000CD090000}"/>
    <cellStyle name="40% - Accent2 2 2 2 5" xfId="2529" xr:uid="{00000000-0005-0000-0000-0000CE090000}"/>
    <cellStyle name="40% - Accent2 2 2 2 5 2" xfId="2530" xr:uid="{00000000-0005-0000-0000-0000CF090000}"/>
    <cellStyle name="40% - Accent2 2 2 2 6" xfId="2531" xr:uid="{00000000-0005-0000-0000-0000D0090000}"/>
    <cellStyle name="40% - Accent2 2 2 3" xfId="2532" xr:uid="{00000000-0005-0000-0000-0000D1090000}"/>
    <cellStyle name="40% - Accent2 2 2 3 2" xfId="2533" xr:uid="{00000000-0005-0000-0000-0000D2090000}"/>
    <cellStyle name="40% - Accent2 2 2 3 2 2" xfId="2534" xr:uid="{00000000-0005-0000-0000-0000D3090000}"/>
    <cellStyle name="40% - Accent2 2 2 3 3" xfId="2535" xr:uid="{00000000-0005-0000-0000-0000D4090000}"/>
    <cellStyle name="40% - Accent2 2 2 3 3 2" xfId="2536" xr:uid="{00000000-0005-0000-0000-0000D5090000}"/>
    <cellStyle name="40% - Accent2 2 2 3 4" xfId="2537" xr:uid="{00000000-0005-0000-0000-0000D6090000}"/>
    <cellStyle name="40% - Accent2 2 2 3 4 2" xfId="2538" xr:uid="{00000000-0005-0000-0000-0000D7090000}"/>
    <cellStyle name="40% - Accent2 2 2 3 5" xfId="2539" xr:uid="{00000000-0005-0000-0000-0000D8090000}"/>
    <cellStyle name="40% - Accent2 2 2 3 5 2" xfId="2540" xr:uid="{00000000-0005-0000-0000-0000D9090000}"/>
    <cellStyle name="40% - Accent2 2 2 3 6" xfId="2541" xr:uid="{00000000-0005-0000-0000-0000DA090000}"/>
    <cellStyle name="40% - Accent2 2 2 4" xfId="2542" xr:uid="{00000000-0005-0000-0000-0000DB090000}"/>
    <cellStyle name="40% - Accent2 2 2 4 2" xfId="2543" xr:uid="{00000000-0005-0000-0000-0000DC090000}"/>
    <cellStyle name="40% - Accent2 2 2 5" xfId="2544" xr:uid="{00000000-0005-0000-0000-0000DD090000}"/>
    <cellStyle name="40% - Accent2 2 2 5 2" xfId="2545" xr:uid="{00000000-0005-0000-0000-0000DE090000}"/>
    <cellStyle name="40% - Accent2 2 2 6" xfId="2546" xr:uid="{00000000-0005-0000-0000-0000DF090000}"/>
    <cellStyle name="40% - Accent2 2 2 6 2" xfId="2547" xr:uid="{00000000-0005-0000-0000-0000E0090000}"/>
    <cellStyle name="40% - Accent2 2 2 7" xfId="2548" xr:uid="{00000000-0005-0000-0000-0000E1090000}"/>
    <cellStyle name="40% - Accent2 2 2 7 2" xfId="2549" xr:uid="{00000000-0005-0000-0000-0000E2090000}"/>
    <cellStyle name="40% - Accent2 2 2 8" xfId="2550" xr:uid="{00000000-0005-0000-0000-0000E3090000}"/>
    <cellStyle name="40% - Accent2 2 2 8 2" xfId="2551" xr:uid="{00000000-0005-0000-0000-0000E4090000}"/>
    <cellStyle name="40% - Accent2 2 2 9" xfId="2552" xr:uid="{00000000-0005-0000-0000-0000E5090000}"/>
    <cellStyle name="40% - Accent2 2 2 9 2" xfId="2553" xr:uid="{00000000-0005-0000-0000-0000E6090000}"/>
    <cellStyle name="40% - Accent2 2 3" xfId="2554" xr:uid="{00000000-0005-0000-0000-0000E7090000}"/>
    <cellStyle name="40% - Accent2 2 3 2" xfId="2555" xr:uid="{00000000-0005-0000-0000-0000E8090000}"/>
    <cellStyle name="40% - Accent2 2 3 2 2" xfId="2556" xr:uid="{00000000-0005-0000-0000-0000E9090000}"/>
    <cellStyle name="40% - Accent2 2 3 3" xfId="2557" xr:uid="{00000000-0005-0000-0000-0000EA090000}"/>
    <cellStyle name="40% - Accent2 2 3 3 2" xfId="2558" xr:uid="{00000000-0005-0000-0000-0000EB090000}"/>
    <cellStyle name="40% - Accent2 2 3 4" xfId="2559" xr:uid="{00000000-0005-0000-0000-0000EC090000}"/>
    <cellStyle name="40% - Accent2 2 3 4 2" xfId="2560" xr:uid="{00000000-0005-0000-0000-0000ED090000}"/>
    <cellStyle name="40% - Accent2 2 3 5" xfId="2561" xr:uid="{00000000-0005-0000-0000-0000EE090000}"/>
    <cellStyle name="40% - Accent2 2 3 5 2" xfId="2562" xr:uid="{00000000-0005-0000-0000-0000EF090000}"/>
    <cellStyle name="40% - Accent2 2 3 6" xfId="2563" xr:uid="{00000000-0005-0000-0000-0000F0090000}"/>
    <cellStyle name="40% - Accent2 2 4" xfId="2564" xr:uid="{00000000-0005-0000-0000-0000F1090000}"/>
    <cellStyle name="40% - Accent2 2 4 2" xfId="2565" xr:uid="{00000000-0005-0000-0000-0000F2090000}"/>
    <cellStyle name="40% - Accent2 2 4 2 2" xfId="2566" xr:uid="{00000000-0005-0000-0000-0000F3090000}"/>
    <cellStyle name="40% - Accent2 2 4 3" xfId="2567" xr:uid="{00000000-0005-0000-0000-0000F4090000}"/>
    <cellStyle name="40% - Accent2 2 4 3 2" xfId="2568" xr:uid="{00000000-0005-0000-0000-0000F5090000}"/>
    <cellStyle name="40% - Accent2 2 4 4" xfId="2569" xr:uid="{00000000-0005-0000-0000-0000F6090000}"/>
    <cellStyle name="40% - Accent2 2 4 4 2" xfId="2570" xr:uid="{00000000-0005-0000-0000-0000F7090000}"/>
    <cellStyle name="40% - Accent2 2 4 5" xfId="2571" xr:uid="{00000000-0005-0000-0000-0000F8090000}"/>
    <cellStyle name="40% - Accent2 2 4 5 2" xfId="2572" xr:uid="{00000000-0005-0000-0000-0000F9090000}"/>
    <cellStyle name="40% - Accent2 2 4 6" xfId="2573" xr:uid="{00000000-0005-0000-0000-0000FA090000}"/>
    <cellStyle name="40% - Accent2 2 5" xfId="2574" xr:uid="{00000000-0005-0000-0000-0000FB090000}"/>
    <cellStyle name="40% - Accent2 2 5 2" xfId="2575" xr:uid="{00000000-0005-0000-0000-0000FC090000}"/>
    <cellStyle name="40% - Accent2 2 6" xfId="2576" xr:uid="{00000000-0005-0000-0000-0000FD090000}"/>
    <cellStyle name="40% - Accent2 2 6 2" xfId="2577" xr:uid="{00000000-0005-0000-0000-0000FE090000}"/>
    <cellStyle name="40% - Accent2 2 7" xfId="2578" xr:uid="{00000000-0005-0000-0000-0000FF090000}"/>
    <cellStyle name="40% - Accent2 2 7 2" xfId="2579" xr:uid="{00000000-0005-0000-0000-0000000A0000}"/>
    <cellStyle name="40% - Accent2 2 8" xfId="2580" xr:uid="{00000000-0005-0000-0000-0000010A0000}"/>
    <cellStyle name="40% - Accent2 2 8 2" xfId="2581" xr:uid="{00000000-0005-0000-0000-0000020A0000}"/>
    <cellStyle name="40% - Accent2 2 9" xfId="2582" xr:uid="{00000000-0005-0000-0000-0000030A0000}"/>
    <cellStyle name="40% - Accent2 2 9 2" xfId="2583" xr:uid="{00000000-0005-0000-0000-0000040A0000}"/>
    <cellStyle name="40% - Accent2 20" xfId="2584" xr:uid="{00000000-0005-0000-0000-0000050A0000}"/>
    <cellStyle name="40% - Accent2 20 2" xfId="2585" xr:uid="{00000000-0005-0000-0000-0000060A0000}"/>
    <cellStyle name="40% - Accent2 3" xfId="2586" xr:uid="{00000000-0005-0000-0000-0000070A0000}"/>
    <cellStyle name="40% - Accent2 3 10" xfId="2587" xr:uid="{00000000-0005-0000-0000-0000080A0000}"/>
    <cellStyle name="40% - Accent2 3 10 2" xfId="2588" xr:uid="{00000000-0005-0000-0000-0000090A0000}"/>
    <cellStyle name="40% - Accent2 3 11" xfId="2589" xr:uid="{00000000-0005-0000-0000-00000A0A0000}"/>
    <cellStyle name="40% - Accent2 3 2" xfId="2590" xr:uid="{00000000-0005-0000-0000-00000B0A0000}"/>
    <cellStyle name="40% - Accent2 3 2 10" xfId="2591" xr:uid="{00000000-0005-0000-0000-00000C0A0000}"/>
    <cellStyle name="40% - Accent2 3 2 2" xfId="2592" xr:uid="{00000000-0005-0000-0000-00000D0A0000}"/>
    <cellStyle name="40% - Accent2 3 2 2 2" xfId="2593" xr:uid="{00000000-0005-0000-0000-00000E0A0000}"/>
    <cellStyle name="40% - Accent2 3 2 2 2 2" xfId="2594" xr:uid="{00000000-0005-0000-0000-00000F0A0000}"/>
    <cellStyle name="40% - Accent2 3 2 2 3" xfId="2595" xr:uid="{00000000-0005-0000-0000-0000100A0000}"/>
    <cellStyle name="40% - Accent2 3 2 2 3 2" xfId="2596" xr:uid="{00000000-0005-0000-0000-0000110A0000}"/>
    <cellStyle name="40% - Accent2 3 2 2 4" xfId="2597" xr:uid="{00000000-0005-0000-0000-0000120A0000}"/>
    <cellStyle name="40% - Accent2 3 2 2 4 2" xfId="2598" xr:uid="{00000000-0005-0000-0000-0000130A0000}"/>
    <cellStyle name="40% - Accent2 3 2 2 5" xfId="2599" xr:uid="{00000000-0005-0000-0000-0000140A0000}"/>
    <cellStyle name="40% - Accent2 3 2 2 5 2" xfId="2600" xr:uid="{00000000-0005-0000-0000-0000150A0000}"/>
    <cellStyle name="40% - Accent2 3 2 2 6" xfId="2601" xr:uid="{00000000-0005-0000-0000-0000160A0000}"/>
    <cellStyle name="40% - Accent2 3 2 3" xfId="2602" xr:uid="{00000000-0005-0000-0000-0000170A0000}"/>
    <cellStyle name="40% - Accent2 3 2 3 2" xfId="2603" xr:uid="{00000000-0005-0000-0000-0000180A0000}"/>
    <cellStyle name="40% - Accent2 3 2 3 2 2" xfId="2604" xr:uid="{00000000-0005-0000-0000-0000190A0000}"/>
    <cellStyle name="40% - Accent2 3 2 3 3" xfId="2605" xr:uid="{00000000-0005-0000-0000-00001A0A0000}"/>
    <cellStyle name="40% - Accent2 3 2 3 3 2" xfId="2606" xr:uid="{00000000-0005-0000-0000-00001B0A0000}"/>
    <cellStyle name="40% - Accent2 3 2 3 4" xfId="2607" xr:uid="{00000000-0005-0000-0000-00001C0A0000}"/>
    <cellStyle name="40% - Accent2 3 2 3 4 2" xfId="2608" xr:uid="{00000000-0005-0000-0000-00001D0A0000}"/>
    <cellStyle name="40% - Accent2 3 2 3 5" xfId="2609" xr:uid="{00000000-0005-0000-0000-00001E0A0000}"/>
    <cellStyle name="40% - Accent2 3 2 3 5 2" xfId="2610" xr:uid="{00000000-0005-0000-0000-00001F0A0000}"/>
    <cellStyle name="40% - Accent2 3 2 3 6" xfId="2611" xr:uid="{00000000-0005-0000-0000-0000200A0000}"/>
    <cellStyle name="40% - Accent2 3 2 4" xfId="2612" xr:uid="{00000000-0005-0000-0000-0000210A0000}"/>
    <cellStyle name="40% - Accent2 3 2 4 2" xfId="2613" xr:uid="{00000000-0005-0000-0000-0000220A0000}"/>
    <cellStyle name="40% - Accent2 3 2 5" xfId="2614" xr:uid="{00000000-0005-0000-0000-0000230A0000}"/>
    <cellStyle name="40% - Accent2 3 2 5 2" xfId="2615" xr:uid="{00000000-0005-0000-0000-0000240A0000}"/>
    <cellStyle name="40% - Accent2 3 2 6" xfId="2616" xr:uid="{00000000-0005-0000-0000-0000250A0000}"/>
    <cellStyle name="40% - Accent2 3 2 6 2" xfId="2617" xr:uid="{00000000-0005-0000-0000-0000260A0000}"/>
    <cellStyle name="40% - Accent2 3 2 7" xfId="2618" xr:uid="{00000000-0005-0000-0000-0000270A0000}"/>
    <cellStyle name="40% - Accent2 3 2 7 2" xfId="2619" xr:uid="{00000000-0005-0000-0000-0000280A0000}"/>
    <cellStyle name="40% - Accent2 3 2 8" xfId="2620" xr:uid="{00000000-0005-0000-0000-0000290A0000}"/>
    <cellStyle name="40% - Accent2 3 2 8 2" xfId="2621" xr:uid="{00000000-0005-0000-0000-00002A0A0000}"/>
    <cellStyle name="40% - Accent2 3 2 9" xfId="2622" xr:uid="{00000000-0005-0000-0000-00002B0A0000}"/>
    <cellStyle name="40% - Accent2 3 2 9 2" xfId="2623" xr:uid="{00000000-0005-0000-0000-00002C0A0000}"/>
    <cellStyle name="40% - Accent2 3 3" xfId="2624" xr:uid="{00000000-0005-0000-0000-00002D0A0000}"/>
    <cellStyle name="40% - Accent2 3 3 2" xfId="2625" xr:uid="{00000000-0005-0000-0000-00002E0A0000}"/>
    <cellStyle name="40% - Accent2 3 3 2 2" xfId="2626" xr:uid="{00000000-0005-0000-0000-00002F0A0000}"/>
    <cellStyle name="40% - Accent2 3 3 3" xfId="2627" xr:uid="{00000000-0005-0000-0000-0000300A0000}"/>
    <cellStyle name="40% - Accent2 3 3 3 2" xfId="2628" xr:uid="{00000000-0005-0000-0000-0000310A0000}"/>
    <cellStyle name="40% - Accent2 3 3 4" xfId="2629" xr:uid="{00000000-0005-0000-0000-0000320A0000}"/>
    <cellStyle name="40% - Accent2 3 3 4 2" xfId="2630" xr:uid="{00000000-0005-0000-0000-0000330A0000}"/>
    <cellStyle name="40% - Accent2 3 3 5" xfId="2631" xr:uid="{00000000-0005-0000-0000-0000340A0000}"/>
    <cellStyle name="40% - Accent2 3 3 5 2" xfId="2632" xr:uid="{00000000-0005-0000-0000-0000350A0000}"/>
    <cellStyle name="40% - Accent2 3 3 6" xfId="2633" xr:uid="{00000000-0005-0000-0000-0000360A0000}"/>
    <cellStyle name="40% - Accent2 3 4" xfId="2634" xr:uid="{00000000-0005-0000-0000-0000370A0000}"/>
    <cellStyle name="40% - Accent2 3 4 2" xfId="2635" xr:uid="{00000000-0005-0000-0000-0000380A0000}"/>
    <cellStyle name="40% - Accent2 3 4 2 2" xfId="2636" xr:uid="{00000000-0005-0000-0000-0000390A0000}"/>
    <cellStyle name="40% - Accent2 3 4 3" xfId="2637" xr:uid="{00000000-0005-0000-0000-00003A0A0000}"/>
    <cellStyle name="40% - Accent2 3 4 3 2" xfId="2638" xr:uid="{00000000-0005-0000-0000-00003B0A0000}"/>
    <cellStyle name="40% - Accent2 3 4 4" xfId="2639" xr:uid="{00000000-0005-0000-0000-00003C0A0000}"/>
    <cellStyle name="40% - Accent2 3 4 4 2" xfId="2640" xr:uid="{00000000-0005-0000-0000-00003D0A0000}"/>
    <cellStyle name="40% - Accent2 3 4 5" xfId="2641" xr:uid="{00000000-0005-0000-0000-00003E0A0000}"/>
    <cellStyle name="40% - Accent2 3 4 5 2" xfId="2642" xr:uid="{00000000-0005-0000-0000-00003F0A0000}"/>
    <cellStyle name="40% - Accent2 3 4 6" xfId="2643" xr:uid="{00000000-0005-0000-0000-0000400A0000}"/>
    <cellStyle name="40% - Accent2 3 5" xfId="2644" xr:uid="{00000000-0005-0000-0000-0000410A0000}"/>
    <cellStyle name="40% - Accent2 3 5 2" xfId="2645" xr:uid="{00000000-0005-0000-0000-0000420A0000}"/>
    <cellStyle name="40% - Accent2 3 6" xfId="2646" xr:uid="{00000000-0005-0000-0000-0000430A0000}"/>
    <cellStyle name="40% - Accent2 3 6 2" xfId="2647" xr:uid="{00000000-0005-0000-0000-0000440A0000}"/>
    <cellStyle name="40% - Accent2 3 7" xfId="2648" xr:uid="{00000000-0005-0000-0000-0000450A0000}"/>
    <cellStyle name="40% - Accent2 3 7 2" xfId="2649" xr:uid="{00000000-0005-0000-0000-0000460A0000}"/>
    <cellStyle name="40% - Accent2 3 8" xfId="2650" xr:uid="{00000000-0005-0000-0000-0000470A0000}"/>
    <cellStyle name="40% - Accent2 3 8 2" xfId="2651" xr:uid="{00000000-0005-0000-0000-0000480A0000}"/>
    <cellStyle name="40% - Accent2 3 9" xfId="2652" xr:uid="{00000000-0005-0000-0000-0000490A0000}"/>
    <cellStyle name="40% - Accent2 3 9 2" xfId="2653" xr:uid="{00000000-0005-0000-0000-00004A0A0000}"/>
    <cellStyle name="40% - Accent2 4" xfId="2654" xr:uid="{00000000-0005-0000-0000-00004B0A0000}"/>
    <cellStyle name="40% - Accent2 4 10" xfId="2655" xr:uid="{00000000-0005-0000-0000-00004C0A0000}"/>
    <cellStyle name="40% - Accent2 4 10 2" xfId="2656" xr:uid="{00000000-0005-0000-0000-00004D0A0000}"/>
    <cellStyle name="40% - Accent2 4 11" xfId="2657" xr:uid="{00000000-0005-0000-0000-00004E0A0000}"/>
    <cellStyle name="40% - Accent2 4 2" xfId="2658" xr:uid="{00000000-0005-0000-0000-00004F0A0000}"/>
    <cellStyle name="40% - Accent2 4 2 10" xfId="2659" xr:uid="{00000000-0005-0000-0000-0000500A0000}"/>
    <cellStyle name="40% - Accent2 4 2 2" xfId="2660" xr:uid="{00000000-0005-0000-0000-0000510A0000}"/>
    <cellStyle name="40% - Accent2 4 2 2 2" xfId="2661" xr:uid="{00000000-0005-0000-0000-0000520A0000}"/>
    <cellStyle name="40% - Accent2 4 2 2 2 2" xfId="2662" xr:uid="{00000000-0005-0000-0000-0000530A0000}"/>
    <cellStyle name="40% - Accent2 4 2 2 3" xfId="2663" xr:uid="{00000000-0005-0000-0000-0000540A0000}"/>
    <cellStyle name="40% - Accent2 4 2 2 3 2" xfId="2664" xr:uid="{00000000-0005-0000-0000-0000550A0000}"/>
    <cellStyle name="40% - Accent2 4 2 2 4" xfId="2665" xr:uid="{00000000-0005-0000-0000-0000560A0000}"/>
    <cellStyle name="40% - Accent2 4 2 2 4 2" xfId="2666" xr:uid="{00000000-0005-0000-0000-0000570A0000}"/>
    <cellStyle name="40% - Accent2 4 2 2 5" xfId="2667" xr:uid="{00000000-0005-0000-0000-0000580A0000}"/>
    <cellStyle name="40% - Accent2 4 2 2 5 2" xfId="2668" xr:uid="{00000000-0005-0000-0000-0000590A0000}"/>
    <cellStyle name="40% - Accent2 4 2 2 6" xfId="2669" xr:uid="{00000000-0005-0000-0000-00005A0A0000}"/>
    <cellStyle name="40% - Accent2 4 2 3" xfId="2670" xr:uid="{00000000-0005-0000-0000-00005B0A0000}"/>
    <cellStyle name="40% - Accent2 4 2 3 2" xfId="2671" xr:uid="{00000000-0005-0000-0000-00005C0A0000}"/>
    <cellStyle name="40% - Accent2 4 2 3 2 2" xfId="2672" xr:uid="{00000000-0005-0000-0000-00005D0A0000}"/>
    <cellStyle name="40% - Accent2 4 2 3 3" xfId="2673" xr:uid="{00000000-0005-0000-0000-00005E0A0000}"/>
    <cellStyle name="40% - Accent2 4 2 3 3 2" xfId="2674" xr:uid="{00000000-0005-0000-0000-00005F0A0000}"/>
    <cellStyle name="40% - Accent2 4 2 3 4" xfId="2675" xr:uid="{00000000-0005-0000-0000-0000600A0000}"/>
    <cellStyle name="40% - Accent2 4 2 3 4 2" xfId="2676" xr:uid="{00000000-0005-0000-0000-0000610A0000}"/>
    <cellStyle name="40% - Accent2 4 2 3 5" xfId="2677" xr:uid="{00000000-0005-0000-0000-0000620A0000}"/>
    <cellStyle name="40% - Accent2 4 2 3 5 2" xfId="2678" xr:uid="{00000000-0005-0000-0000-0000630A0000}"/>
    <cellStyle name="40% - Accent2 4 2 3 6" xfId="2679" xr:uid="{00000000-0005-0000-0000-0000640A0000}"/>
    <cellStyle name="40% - Accent2 4 2 4" xfId="2680" xr:uid="{00000000-0005-0000-0000-0000650A0000}"/>
    <cellStyle name="40% - Accent2 4 2 4 2" xfId="2681" xr:uid="{00000000-0005-0000-0000-0000660A0000}"/>
    <cellStyle name="40% - Accent2 4 2 5" xfId="2682" xr:uid="{00000000-0005-0000-0000-0000670A0000}"/>
    <cellStyle name="40% - Accent2 4 2 5 2" xfId="2683" xr:uid="{00000000-0005-0000-0000-0000680A0000}"/>
    <cellStyle name="40% - Accent2 4 2 6" xfId="2684" xr:uid="{00000000-0005-0000-0000-0000690A0000}"/>
    <cellStyle name="40% - Accent2 4 2 6 2" xfId="2685" xr:uid="{00000000-0005-0000-0000-00006A0A0000}"/>
    <cellStyle name="40% - Accent2 4 2 7" xfId="2686" xr:uid="{00000000-0005-0000-0000-00006B0A0000}"/>
    <cellStyle name="40% - Accent2 4 2 7 2" xfId="2687" xr:uid="{00000000-0005-0000-0000-00006C0A0000}"/>
    <cellStyle name="40% - Accent2 4 2 8" xfId="2688" xr:uid="{00000000-0005-0000-0000-00006D0A0000}"/>
    <cellStyle name="40% - Accent2 4 2 8 2" xfId="2689" xr:uid="{00000000-0005-0000-0000-00006E0A0000}"/>
    <cellStyle name="40% - Accent2 4 2 9" xfId="2690" xr:uid="{00000000-0005-0000-0000-00006F0A0000}"/>
    <cellStyle name="40% - Accent2 4 2 9 2" xfId="2691" xr:uid="{00000000-0005-0000-0000-0000700A0000}"/>
    <cellStyle name="40% - Accent2 4 3" xfId="2692" xr:uid="{00000000-0005-0000-0000-0000710A0000}"/>
    <cellStyle name="40% - Accent2 4 3 2" xfId="2693" xr:uid="{00000000-0005-0000-0000-0000720A0000}"/>
    <cellStyle name="40% - Accent2 4 3 2 2" xfId="2694" xr:uid="{00000000-0005-0000-0000-0000730A0000}"/>
    <cellStyle name="40% - Accent2 4 3 3" xfId="2695" xr:uid="{00000000-0005-0000-0000-0000740A0000}"/>
    <cellStyle name="40% - Accent2 4 3 3 2" xfId="2696" xr:uid="{00000000-0005-0000-0000-0000750A0000}"/>
    <cellStyle name="40% - Accent2 4 3 4" xfId="2697" xr:uid="{00000000-0005-0000-0000-0000760A0000}"/>
    <cellStyle name="40% - Accent2 4 3 4 2" xfId="2698" xr:uid="{00000000-0005-0000-0000-0000770A0000}"/>
    <cellStyle name="40% - Accent2 4 3 5" xfId="2699" xr:uid="{00000000-0005-0000-0000-0000780A0000}"/>
    <cellStyle name="40% - Accent2 4 3 5 2" xfId="2700" xr:uid="{00000000-0005-0000-0000-0000790A0000}"/>
    <cellStyle name="40% - Accent2 4 3 6" xfId="2701" xr:uid="{00000000-0005-0000-0000-00007A0A0000}"/>
    <cellStyle name="40% - Accent2 4 4" xfId="2702" xr:uid="{00000000-0005-0000-0000-00007B0A0000}"/>
    <cellStyle name="40% - Accent2 4 4 2" xfId="2703" xr:uid="{00000000-0005-0000-0000-00007C0A0000}"/>
    <cellStyle name="40% - Accent2 4 4 2 2" xfId="2704" xr:uid="{00000000-0005-0000-0000-00007D0A0000}"/>
    <cellStyle name="40% - Accent2 4 4 3" xfId="2705" xr:uid="{00000000-0005-0000-0000-00007E0A0000}"/>
    <cellStyle name="40% - Accent2 4 4 3 2" xfId="2706" xr:uid="{00000000-0005-0000-0000-00007F0A0000}"/>
    <cellStyle name="40% - Accent2 4 4 4" xfId="2707" xr:uid="{00000000-0005-0000-0000-0000800A0000}"/>
    <cellStyle name="40% - Accent2 4 4 4 2" xfId="2708" xr:uid="{00000000-0005-0000-0000-0000810A0000}"/>
    <cellStyle name="40% - Accent2 4 4 5" xfId="2709" xr:uid="{00000000-0005-0000-0000-0000820A0000}"/>
    <cellStyle name="40% - Accent2 4 4 5 2" xfId="2710" xr:uid="{00000000-0005-0000-0000-0000830A0000}"/>
    <cellStyle name="40% - Accent2 4 4 6" xfId="2711" xr:uid="{00000000-0005-0000-0000-0000840A0000}"/>
    <cellStyle name="40% - Accent2 4 5" xfId="2712" xr:uid="{00000000-0005-0000-0000-0000850A0000}"/>
    <cellStyle name="40% - Accent2 4 5 2" xfId="2713" xr:uid="{00000000-0005-0000-0000-0000860A0000}"/>
    <cellStyle name="40% - Accent2 4 6" xfId="2714" xr:uid="{00000000-0005-0000-0000-0000870A0000}"/>
    <cellStyle name="40% - Accent2 4 6 2" xfId="2715" xr:uid="{00000000-0005-0000-0000-0000880A0000}"/>
    <cellStyle name="40% - Accent2 4 7" xfId="2716" xr:uid="{00000000-0005-0000-0000-0000890A0000}"/>
    <cellStyle name="40% - Accent2 4 7 2" xfId="2717" xr:uid="{00000000-0005-0000-0000-00008A0A0000}"/>
    <cellStyle name="40% - Accent2 4 8" xfId="2718" xr:uid="{00000000-0005-0000-0000-00008B0A0000}"/>
    <cellStyle name="40% - Accent2 4 8 2" xfId="2719" xr:uid="{00000000-0005-0000-0000-00008C0A0000}"/>
    <cellStyle name="40% - Accent2 4 9" xfId="2720" xr:uid="{00000000-0005-0000-0000-00008D0A0000}"/>
    <cellStyle name="40% - Accent2 4 9 2" xfId="2721" xr:uid="{00000000-0005-0000-0000-00008E0A0000}"/>
    <cellStyle name="40% - Accent2 5" xfId="2722" xr:uid="{00000000-0005-0000-0000-00008F0A0000}"/>
    <cellStyle name="40% - Accent2 5 10" xfId="2723" xr:uid="{00000000-0005-0000-0000-0000900A0000}"/>
    <cellStyle name="40% - Accent2 5 2" xfId="2724" xr:uid="{00000000-0005-0000-0000-0000910A0000}"/>
    <cellStyle name="40% - Accent2 5 2 2" xfId="2725" xr:uid="{00000000-0005-0000-0000-0000920A0000}"/>
    <cellStyle name="40% - Accent2 5 2 2 2" xfId="2726" xr:uid="{00000000-0005-0000-0000-0000930A0000}"/>
    <cellStyle name="40% - Accent2 5 2 3" xfId="2727" xr:uid="{00000000-0005-0000-0000-0000940A0000}"/>
    <cellStyle name="40% - Accent2 5 2 3 2" xfId="2728" xr:uid="{00000000-0005-0000-0000-0000950A0000}"/>
    <cellStyle name="40% - Accent2 5 2 4" xfId="2729" xr:uid="{00000000-0005-0000-0000-0000960A0000}"/>
    <cellStyle name="40% - Accent2 5 2 4 2" xfId="2730" xr:uid="{00000000-0005-0000-0000-0000970A0000}"/>
    <cellStyle name="40% - Accent2 5 2 5" xfId="2731" xr:uid="{00000000-0005-0000-0000-0000980A0000}"/>
    <cellStyle name="40% - Accent2 5 2 5 2" xfId="2732" xr:uid="{00000000-0005-0000-0000-0000990A0000}"/>
    <cellStyle name="40% - Accent2 5 2 6" xfId="2733" xr:uid="{00000000-0005-0000-0000-00009A0A0000}"/>
    <cellStyle name="40% - Accent2 5 3" xfId="2734" xr:uid="{00000000-0005-0000-0000-00009B0A0000}"/>
    <cellStyle name="40% - Accent2 5 3 2" xfId="2735" xr:uid="{00000000-0005-0000-0000-00009C0A0000}"/>
    <cellStyle name="40% - Accent2 5 3 2 2" xfId="2736" xr:uid="{00000000-0005-0000-0000-00009D0A0000}"/>
    <cellStyle name="40% - Accent2 5 3 3" xfId="2737" xr:uid="{00000000-0005-0000-0000-00009E0A0000}"/>
    <cellStyle name="40% - Accent2 5 3 3 2" xfId="2738" xr:uid="{00000000-0005-0000-0000-00009F0A0000}"/>
    <cellStyle name="40% - Accent2 5 3 4" xfId="2739" xr:uid="{00000000-0005-0000-0000-0000A00A0000}"/>
    <cellStyle name="40% - Accent2 5 3 4 2" xfId="2740" xr:uid="{00000000-0005-0000-0000-0000A10A0000}"/>
    <cellStyle name="40% - Accent2 5 3 5" xfId="2741" xr:uid="{00000000-0005-0000-0000-0000A20A0000}"/>
    <cellStyle name="40% - Accent2 5 3 5 2" xfId="2742" xr:uid="{00000000-0005-0000-0000-0000A30A0000}"/>
    <cellStyle name="40% - Accent2 5 3 6" xfId="2743" xr:uid="{00000000-0005-0000-0000-0000A40A0000}"/>
    <cellStyle name="40% - Accent2 5 4" xfId="2744" xr:uid="{00000000-0005-0000-0000-0000A50A0000}"/>
    <cellStyle name="40% - Accent2 5 4 2" xfId="2745" xr:uid="{00000000-0005-0000-0000-0000A60A0000}"/>
    <cellStyle name="40% - Accent2 5 5" xfId="2746" xr:uid="{00000000-0005-0000-0000-0000A70A0000}"/>
    <cellStyle name="40% - Accent2 5 5 2" xfId="2747" xr:uid="{00000000-0005-0000-0000-0000A80A0000}"/>
    <cellStyle name="40% - Accent2 5 6" xfId="2748" xr:uid="{00000000-0005-0000-0000-0000A90A0000}"/>
    <cellStyle name="40% - Accent2 5 6 2" xfId="2749" xr:uid="{00000000-0005-0000-0000-0000AA0A0000}"/>
    <cellStyle name="40% - Accent2 5 7" xfId="2750" xr:uid="{00000000-0005-0000-0000-0000AB0A0000}"/>
    <cellStyle name="40% - Accent2 5 7 2" xfId="2751" xr:uid="{00000000-0005-0000-0000-0000AC0A0000}"/>
    <cellStyle name="40% - Accent2 5 8" xfId="2752" xr:uid="{00000000-0005-0000-0000-0000AD0A0000}"/>
    <cellStyle name="40% - Accent2 5 8 2" xfId="2753" xr:uid="{00000000-0005-0000-0000-0000AE0A0000}"/>
    <cellStyle name="40% - Accent2 5 9" xfId="2754" xr:uid="{00000000-0005-0000-0000-0000AF0A0000}"/>
    <cellStyle name="40% - Accent2 5 9 2" xfId="2755" xr:uid="{00000000-0005-0000-0000-0000B00A0000}"/>
    <cellStyle name="40% - Accent2 6" xfId="2756" xr:uid="{00000000-0005-0000-0000-0000B10A0000}"/>
    <cellStyle name="40% - Accent2 6 10" xfId="2757" xr:uid="{00000000-0005-0000-0000-0000B20A0000}"/>
    <cellStyle name="40% - Accent2 6 2" xfId="2758" xr:uid="{00000000-0005-0000-0000-0000B30A0000}"/>
    <cellStyle name="40% - Accent2 6 2 2" xfId="2759" xr:uid="{00000000-0005-0000-0000-0000B40A0000}"/>
    <cellStyle name="40% - Accent2 6 2 2 2" xfId="2760" xr:uid="{00000000-0005-0000-0000-0000B50A0000}"/>
    <cellStyle name="40% - Accent2 6 2 3" xfId="2761" xr:uid="{00000000-0005-0000-0000-0000B60A0000}"/>
    <cellStyle name="40% - Accent2 6 2 3 2" xfId="2762" xr:uid="{00000000-0005-0000-0000-0000B70A0000}"/>
    <cellStyle name="40% - Accent2 6 2 4" xfId="2763" xr:uid="{00000000-0005-0000-0000-0000B80A0000}"/>
    <cellStyle name="40% - Accent2 6 2 4 2" xfId="2764" xr:uid="{00000000-0005-0000-0000-0000B90A0000}"/>
    <cellStyle name="40% - Accent2 6 2 5" xfId="2765" xr:uid="{00000000-0005-0000-0000-0000BA0A0000}"/>
    <cellStyle name="40% - Accent2 6 2 5 2" xfId="2766" xr:uid="{00000000-0005-0000-0000-0000BB0A0000}"/>
    <cellStyle name="40% - Accent2 6 2 6" xfId="2767" xr:uid="{00000000-0005-0000-0000-0000BC0A0000}"/>
    <cellStyle name="40% - Accent2 6 3" xfId="2768" xr:uid="{00000000-0005-0000-0000-0000BD0A0000}"/>
    <cellStyle name="40% - Accent2 6 3 2" xfId="2769" xr:uid="{00000000-0005-0000-0000-0000BE0A0000}"/>
    <cellStyle name="40% - Accent2 6 3 2 2" xfId="2770" xr:uid="{00000000-0005-0000-0000-0000BF0A0000}"/>
    <cellStyle name="40% - Accent2 6 3 3" xfId="2771" xr:uid="{00000000-0005-0000-0000-0000C00A0000}"/>
    <cellStyle name="40% - Accent2 6 3 3 2" xfId="2772" xr:uid="{00000000-0005-0000-0000-0000C10A0000}"/>
    <cellStyle name="40% - Accent2 6 3 4" xfId="2773" xr:uid="{00000000-0005-0000-0000-0000C20A0000}"/>
    <cellStyle name="40% - Accent2 6 3 4 2" xfId="2774" xr:uid="{00000000-0005-0000-0000-0000C30A0000}"/>
    <cellStyle name="40% - Accent2 6 3 5" xfId="2775" xr:uid="{00000000-0005-0000-0000-0000C40A0000}"/>
    <cellStyle name="40% - Accent2 6 3 5 2" xfId="2776" xr:uid="{00000000-0005-0000-0000-0000C50A0000}"/>
    <cellStyle name="40% - Accent2 6 3 6" xfId="2777" xr:uid="{00000000-0005-0000-0000-0000C60A0000}"/>
    <cellStyle name="40% - Accent2 6 4" xfId="2778" xr:uid="{00000000-0005-0000-0000-0000C70A0000}"/>
    <cellStyle name="40% - Accent2 6 4 2" xfId="2779" xr:uid="{00000000-0005-0000-0000-0000C80A0000}"/>
    <cellStyle name="40% - Accent2 6 5" xfId="2780" xr:uid="{00000000-0005-0000-0000-0000C90A0000}"/>
    <cellStyle name="40% - Accent2 6 5 2" xfId="2781" xr:uid="{00000000-0005-0000-0000-0000CA0A0000}"/>
    <cellStyle name="40% - Accent2 6 6" xfId="2782" xr:uid="{00000000-0005-0000-0000-0000CB0A0000}"/>
    <cellStyle name="40% - Accent2 6 6 2" xfId="2783" xr:uid="{00000000-0005-0000-0000-0000CC0A0000}"/>
    <cellStyle name="40% - Accent2 6 7" xfId="2784" xr:uid="{00000000-0005-0000-0000-0000CD0A0000}"/>
    <cellStyle name="40% - Accent2 6 7 2" xfId="2785" xr:uid="{00000000-0005-0000-0000-0000CE0A0000}"/>
    <cellStyle name="40% - Accent2 6 8" xfId="2786" xr:uid="{00000000-0005-0000-0000-0000CF0A0000}"/>
    <cellStyle name="40% - Accent2 6 8 2" xfId="2787" xr:uid="{00000000-0005-0000-0000-0000D00A0000}"/>
    <cellStyle name="40% - Accent2 6 9" xfId="2788" xr:uid="{00000000-0005-0000-0000-0000D10A0000}"/>
    <cellStyle name="40% - Accent2 6 9 2" xfId="2789" xr:uid="{00000000-0005-0000-0000-0000D20A0000}"/>
    <cellStyle name="40% - Accent2 7" xfId="2790" xr:uid="{00000000-0005-0000-0000-0000D30A0000}"/>
    <cellStyle name="40% - Accent2 7 10" xfId="2791" xr:uid="{00000000-0005-0000-0000-0000D40A0000}"/>
    <cellStyle name="40% - Accent2 7 2" xfId="2792" xr:uid="{00000000-0005-0000-0000-0000D50A0000}"/>
    <cellStyle name="40% - Accent2 7 2 2" xfId="2793" xr:uid="{00000000-0005-0000-0000-0000D60A0000}"/>
    <cellStyle name="40% - Accent2 7 2 2 2" xfId="2794" xr:uid="{00000000-0005-0000-0000-0000D70A0000}"/>
    <cellStyle name="40% - Accent2 7 2 3" xfId="2795" xr:uid="{00000000-0005-0000-0000-0000D80A0000}"/>
    <cellStyle name="40% - Accent2 7 2 3 2" xfId="2796" xr:uid="{00000000-0005-0000-0000-0000D90A0000}"/>
    <cellStyle name="40% - Accent2 7 2 4" xfId="2797" xr:uid="{00000000-0005-0000-0000-0000DA0A0000}"/>
    <cellStyle name="40% - Accent2 7 2 4 2" xfId="2798" xr:uid="{00000000-0005-0000-0000-0000DB0A0000}"/>
    <cellStyle name="40% - Accent2 7 2 5" xfId="2799" xr:uid="{00000000-0005-0000-0000-0000DC0A0000}"/>
    <cellStyle name="40% - Accent2 7 2 5 2" xfId="2800" xr:uid="{00000000-0005-0000-0000-0000DD0A0000}"/>
    <cellStyle name="40% - Accent2 7 2 6" xfId="2801" xr:uid="{00000000-0005-0000-0000-0000DE0A0000}"/>
    <cellStyle name="40% - Accent2 7 3" xfId="2802" xr:uid="{00000000-0005-0000-0000-0000DF0A0000}"/>
    <cellStyle name="40% - Accent2 7 3 2" xfId="2803" xr:uid="{00000000-0005-0000-0000-0000E00A0000}"/>
    <cellStyle name="40% - Accent2 7 3 2 2" xfId="2804" xr:uid="{00000000-0005-0000-0000-0000E10A0000}"/>
    <cellStyle name="40% - Accent2 7 3 3" xfId="2805" xr:uid="{00000000-0005-0000-0000-0000E20A0000}"/>
    <cellStyle name="40% - Accent2 7 3 3 2" xfId="2806" xr:uid="{00000000-0005-0000-0000-0000E30A0000}"/>
    <cellStyle name="40% - Accent2 7 3 4" xfId="2807" xr:uid="{00000000-0005-0000-0000-0000E40A0000}"/>
    <cellStyle name="40% - Accent2 7 3 4 2" xfId="2808" xr:uid="{00000000-0005-0000-0000-0000E50A0000}"/>
    <cellStyle name="40% - Accent2 7 3 5" xfId="2809" xr:uid="{00000000-0005-0000-0000-0000E60A0000}"/>
    <cellStyle name="40% - Accent2 7 3 5 2" xfId="2810" xr:uid="{00000000-0005-0000-0000-0000E70A0000}"/>
    <cellStyle name="40% - Accent2 7 3 6" xfId="2811" xr:uid="{00000000-0005-0000-0000-0000E80A0000}"/>
    <cellStyle name="40% - Accent2 7 4" xfId="2812" xr:uid="{00000000-0005-0000-0000-0000E90A0000}"/>
    <cellStyle name="40% - Accent2 7 4 2" xfId="2813" xr:uid="{00000000-0005-0000-0000-0000EA0A0000}"/>
    <cellStyle name="40% - Accent2 7 5" xfId="2814" xr:uid="{00000000-0005-0000-0000-0000EB0A0000}"/>
    <cellStyle name="40% - Accent2 7 5 2" xfId="2815" xr:uid="{00000000-0005-0000-0000-0000EC0A0000}"/>
    <cellStyle name="40% - Accent2 7 6" xfId="2816" xr:uid="{00000000-0005-0000-0000-0000ED0A0000}"/>
    <cellStyle name="40% - Accent2 7 6 2" xfId="2817" xr:uid="{00000000-0005-0000-0000-0000EE0A0000}"/>
    <cellStyle name="40% - Accent2 7 7" xfId="2818" xr:uid="{00000000-0005-0000-0000-0000EF0A0000}"/>
    <cellStyle name="40% - Accent2 7 7 2" xfId="2819" xr:uid="{00000000-0005-0000-0000-0000F00A0000}"/>
    <cellStyle name="40% - Accent2 7 8" xfId="2820" xr:uid="{00000000-0005-0000-0000-0000F10A0000}"/>
    <cellStyle name="40% - Accent2 7 8 2" xfId="2821" xr:uid="{00000000-0005-0000-0000-0000F20A0000}"/>
    <cellStyle name="40% - Accent2 7 9" xfId="2822" xr:uid="{00000000-0005-0000-0000-0000F30A0000}"/>
    <cellStyle name="40% - Accent2 7 9 2" xfId="2823" xr:uid="{00000000-0005-0000-0000-0000F40A0000}"/>
    <cellStyle name="40% - Accent2 8" xfId="2824" xr:uid="{00000000-0005-0000-0000-0000F50A0000}"/>
    <cellStyle name="40% - Accent2 8 2" xfId="2825" xr:uid="{00000000-0005-0000-0000-0000F60A0000}"/>
    <cellStyle name="40% - Accent2 8 2 2" xfId="2826" xr:uid="{00000000-0005-0000-0000-0000F70A0000}"/>
    <cellStyle name="40% - Accent2 8 3" xfId="2827" xr:uid="{00000000-0005-0000-0000-0000F80A0000}"/>
    <cellStyle name="40% - Accent2 8 3 2" xfId="2828" xr:uid="{00000000-0005-0000-0000-0000F90A0000}"/>
    <cellStyle name="40% - Accent2 8 4" xfId="2829" xr:uid="{00000000-0005-0000-0000-0000FA0A0000}"/>
    <cellStyle name="40% - Accent2 8 4 2" xfId="2830" xr:uid="{00000000-0005-0000-0000-0000FB0A0000}"/>
    <cellStyle name="40% - Accent2 8 5" xfId="2831" xr:uid="{00000000-0005-0000-0000-0000FC0A0000}"/>
    <cellStyle name="40% - Accent2 8 5 2" xfId="2832" xr:uid="{00000000-0005-0000-0000-0000FD0A0000}"/>
    <cellStyle name="40% - Accent2 8 6" xfId="2833" xr:uid="{00000000-0005-0000-0000-0000FE0A0000}"/>
    <cellStyle name="40% - Accent2 9" xfId="2834" xr:uid="{00000000-0005-0000-0000-0000FF0A0000}"/>
    <cellStyle name="40% - Accent2 9 2" xfId="2835" xr:uid="{00000000-0005-0000-0000-0000000B0000}"/>
    <cellStyle name="40% - Accent2 9 2 2" xfId="2836" xr:uid="{00000000-0005-0000-0000-0000010B0000}"/>
    <cellStyle name="40% - Accent2 9 3" xfId="2837" xr:uid="{00000000-0005-0000-0000-0000020B0000}"/>
    <cellStyle name="40% - Accent2 9 3 2" xfId="2838" xr:uid="{00000000-0005-0000-0000-0000030B0000}"/>
    <cellStyle name="40% - Accent2 9 4" xfId="2839" xr:uid="{00000000-0005-0000-0000-0000040B0000}"/>
    <cellStyle name="40% - Accent2 9 4 2" xfId="2840" xr:uid="{00000000-0005-0000-0000-0000050B0000}"/>
    <cellStyle name="40% - Accent2 9 5" xfId="2841" xr:uid="{00000000-0005-0000-0000-0000060B0000}"/>
    <cellStyle name="40% - Accent2 9 5 2" xfId="2842" xr:uid="{00000000-0005-0000-0000-0000070B0000}"/>
    <cellStyle name="40% - Accent2 9 6" xfId="2843" xr:uid="{00000000-0005-0000-0000-0000080B0000}"/>
    <cellStyle name="40% - Accent3 10" xfId="2844" xr:uid="{00000000-0005-0000-0000-0000090B0000}"/>
    <cellStyle name="40% - Accent3 10 2" xfId="2845" xr:uid="{00000000-0005-0000-0000-00000A0B0000}"/>
    <cellStyle name="40% - Accent3 10 2 2" xfId="2846" xr:uid="{00000000-0005-0000-0000-00000B0B0000}"/>
    <cellStyle name="40% - Accent3 10 3" xfId="2847" xr:uid="{00000000-0005-0000-0000-00000C0B0000}"/>
    <cellStyle name="40% - Accent3 10 3 2" xfId="2848" xr:uid="{00000000-0005-0000-0000-00000D0B0000}"/>
    <cellStyle name="40% - Accent3 10 4" xfId="2849" xr:uid="{00000000-0005-0000-0000-00000E0B0000}"/>
    <cellStyle name="40% - Accent3 11" xfId="2850" xr:uid="{00000000-0005-0000-0000-00000F0B0000}"/>
    <cellStyle name="40% - Accent3 11 2" xfId="2851" xr:uid="{00000000-0005-0000-0000-0000100B0000}"/>
    <cellStyle name="40% - Accent3 12" xfId="2852" xr:uid="{00000000-0005-0000-0000-0000110B0000}"/>
    <cellStyle name="40% - Accent3 12 2" xfId="2853" xr:uid="{00000000-0005-0000-0000-0000120B0000}"/>
    <cellStyle name="40% - Accent3 13" xfId="2854" xr:uid="{00000000-0005-0000-0000-0000130B0000}"/>
    <cellStyle name="40% - Accent3 13 2" xfId="2855" xr:uid="{00000000-0005-0000-0000-0000140B0000}"/>
    <cellStyle name="40% - Accent3 14" xfId="2856" xr:uid="{00000000-0005-0000-0000-0000150B0000}"/>
    <cellStyle name="40% - Accent3 14 2" xfId="2857" xr:uid="{00000000-0005-0000-0000-0000160B0000}"/>
    <cellStyle name="40% - Accent3 15" xfId="2858" xr:uid="{00000000-0005-0000-0000-0000170B0000}"/>
    <cellStyle name="40% - Accent3 15 2" xfId="2859" xr:uid="{00000000-0005-0000-0000-0000180B0000}"/>
    <cellStyle name="40% - Accent3 16" xfId="2860" xr:uid="{00000000-0005-0000-0000-0000190B0000}"/>
    <cellStyle name="40% - Accent3 16 2" xfId="2861" xr:uid="{00000000-0005-0000-0000-00001A0B0000}"/>
    <cellStyle name="40% - Accent3 17" xfId="2862" xr:uid="{00000000-0005-0000-0000-00001B0B0000}"/>
    <cellStyle name="40% - Accent3 17 2" xfId="2863" xr:uid="{00000000-0005-0000-0000-00001C0B0000}"/>
    <cellStyle name="40% - Accent3 18" xfId="2864" xr:uid="{00000000-0005-0000-0000-00001D0B0000}"/>
    <cellStyle name="40% - Accent3 18 2" xfId="2865" xr:uid="{00000000-0005-0000-0000-00001E0B0000}"/>
    <cellStyle name="40% - Accent3 19" xfId="2866" xr:uid="{00000000-0005-0000-0000-00001F0B0000}"/>
    <cellStyle name="40% - Accent3 19 2" xfId="2867" xr:uid="{00000000-0005-0000-0000-0000200B0000}"/>
    <cellStyle name="40% - Accent3 2" xfId="2868" xr:uid="{00000000-0005-0000-0000-0000210B0000}"/>
    <cellStyle name="40% - Accent3 2 10" xfId="2869" xr:uid="{00000000-0005-0000-0000-0000220B0000}"/>
    <cellStyle name="40% - Accent3 2 10 2" xfId="2870" xr:uid="{00000000-0005-0000-0000-0000230B0000}"/>
    <cellStyle name="40% - Accent3 2 11" xfId="2871" xr:uid="{00000000-0005-0000-0000-0000240B0000}"/>
    <cellStyle name="40% - Accent3 2 2" xfId="2872" xr:uid="{00000000-0005-0000-0000-0000250B0000}"/>
    <cellStyle name="40% - Accent3 2 2 10" xfId="2873" xr:uid="{00000000-0005-0000-0000-0000260B0000}"/>
    <cellStyle name="40% - Accent3 2 2 2" xfId="2874" xr:uid="{00000000-0005-0000-0000-0000270B0000}"/>
    <cellStyle name="40% - Accent3 2 2 2 2" xfId="2875" xr:uid="{00000000-0005-0000-0000-0000280B0000}"/>
    <cellStyle name="40% - Accent3 2 2 2 2 2" xfId="2876" xr:uid="{00000000-0005-0000-0000-0000290B0000}"/>
    <cellStyle name="40% - Accent3 2 2 2 3" xfId="2877" xr:uid="{00000000-0005-0000-0000-00002A0B0000}"/>
    <cellStyle name="40% - Accent3 2 2 2 3 2" xfId="2878" xr:uid="{00000000-0005-0000-0000-00002B0B0000}"/>
    <cellStyle name="40% - Accent3 2 2 2 4" xfId="2879" xr:uid="{00000000-0005-0000-0000-00002C0B0000}"/>
    <cellStyle name="40% - Accent3 2 2 2 4 2" xfId="2880" xr:uid="{00000000-0005-0000-0000-00002D0B0000}"/>
    <cellStyle name="40% - Accent3 2 2 2 5" xfId="2881" xr:uid="{00000000-0005-0000-0000-00002E0B0000}"/>
    <cellStyle name="40% - Accent3 2 2 2 5 2" xfId="2882" xr:uid="{00000000-0005-0000-0000-00002F0B0000}"/>
    <cellStyle name="40% - Accent3 2 2 2 6" xfId="2883" xr:uid="{00000000-0005-0000-0000-0000300B0000}"/>
    <cellStyle name="40% - Accent3 2 2 3" xfId="2884" xr:uid="{00000000-0005-0000-0000-0000310B0000}"/>
    <cellStyle name="40% - Accent3 2 2 3 2" xfId="2885" xr:uid="{00000000-0005-0000-0000-0000320B0000}"/>
    <cellStyle name="40% - Accent3 2 2 3 2 2" xfId="2886" xr:uid="{00000000-0005-0000-0000-0000330B0000}"/>
    <cellStyle name="40% - Accent3 2 2 3 3" xfId="2887" xr:uid="{00000000-0005-0000-0000-0000340B0000}"/>
    <cellStyle name="40% - Accent3 2 2 3 3 2" xfId="2888" xr:uid="{00000000-0005-0000-0000-0000350B0000}"/>
    <cellStyle name="40% - Accent3 2 2 3 4" xfId="2889" xr:uid="{00000000-0005-0000-0000-0000360B0000}"/>
    <cellStyle name="40% - Accent3 2 2 3 4 2" xfId="2890" xr:uid="{00000000-0005-0000-0000-0000370B0000}"/>
    <cellStyle name="40% - Accent3 2 2 3 5" xfId="2891" xr:uid="{00000000-0005-0000-0000-0000380B0000}"/>
    <cellStyle name="40% - Accent3 2 2 3 5 2" xfId="2892" xr:uid="{00000000-0005-0000-0000-0000390B0000}"/>
    <cellStyle name="40% - Accent3 2 2 3 6" xfId="2893" xr:uid="{00000000-0005-0000-0000-00003A0B0000}"/>
    <cellStyle name="40% - Accent3 2 2 4" xfId="2894" xr:uid="{00000000-0005-0000-0000-00003B0B0000}"/>
    <cellStyle name="40% - Accent3 2 2 4 2" xfId="2895" xr:uid="{00000000-0005-0000-0000-00003C0B0000}"/>
    <cellStyle name="40% - Accent3 2 2 5" xfId="2896" xr:uid="{00000000-0005-0000-0000-00003D0B0000}"/>
    <cellStyle name="40% - Accent3 2 2 5 2" xfId="2897" xr:uid="{00000000-0005-0000-0000-00003E0B0000}"/>
    <cellStyle name="40% - Accent3 2 2 6" xfId="2898" xr:uid="{00000000-0005-0000-0000-00003F0B0000}"/>
    <cellStyle name="40% - Accent3 2 2 6 2" xfId="2899" xr:uid="{00000000-0005-0000-0000-0000400B0000}"/>
    <cellStyle name="40% - Accent3 2 2 7" xfId="2900" xr:uid="{00000000-0005-0000-0000-0000410B0000}"/>
    <cellStyle name="40% - Accent3 2 2 7 2" xfId="2901" xr:uid="{00000000-0005-0000-0000-0000420B0000}"/>
    <cellStyle name="40% - Accent3 2 2 8" xfId="2902" xr:uid="{00000000-0005-0000-0000-0000430B0000}"/>
    <cellStyle name="40% - Accent3 2 2 8 2" xfId="2903" xr:uid="{00000000-0005-0000-0000-0000440B0000}"/>
    <cellStyle name="40% - Accent3 2 2 9" xfId="2904" xr:uid="{00000000-0005-0000-0000-0000450B0000}"/>
    <cellStyle name="40% - Accent3 2 2 9 2" xfId="2905" xr:uid="{00000000-0005-0000-0000-0000460B0000}"/>
    <cellStyle name="40% - Accent3 2 3" xfId="2906" xr:uid="{00000000-0005-0000-0000-0000470B0000}"/>
    <cellStyle name="40% - Accent3 2 3 2" xfId="2907" xr:uid="{00000000-0005-0000-0000-0000480B0000}"/>
    <cellStyle name="40% - Accent3 2 3 2 2" xfId="2908" xr:uid="{00000000-0005-0000-0000-0000490B0000}"/>
    <cellStyle name="40% - Accent3 2 3 3" xfId="2909" xr:uid="{00000000-0005-0000-0000-00004A0B0000}"/>
    <cellStyle name="40% - Accent3 2 3 3 2" xfId="2910" xr:uid="{00000000-0005-0000-0000-00004B0B0000}"/>
    <cellStyle name="40% - Accent3 2 3 4" xfId="2911" xr:uid="{00000000-0005-0000-0000-00004C0B0000}"/>
    <cellStyle name="40% - Accent3 2 3 4 2" xfId="2912" xr:uid="{00000000-0005-0000-0000-00004D0B0000}"/>
    <cellStyle name="40% - Accent3 2 3 5" xfId="2913" xr:uid="{00000000-0005-0000-0000-00004E0B0000}"/>
    <cellStyle name="40% - Accent3 2 3 5 2" xfId="2914" xr:uid="{00000000-0005-0000-0000-00004F0B0000}"/>
    <cellStyle name="40% - Accent3 2 3 6" xfId="2915" xr:uid="{00000000-0005-0000-0000-0000500B0000}"/>
    <cellStyle name="40% - Accent3 2 4" xfId="2916" xr:uid="{00000000-0005-0000-0000-0000510B0000}"/>
    <cellStyle name="40% - Accent3 2 4 2" xfId="2917" xr:uid="{00000000-0005-0000-0000-0000520B0000}"/>
    <cellStyle name="40% - Accent3 2 4 2 2" xfId="2918" xr:uid="{00000000-0005-0000-0000-0000530B0000}"/>
    <cellStyle name="40% - Accent3 2 4 3" xfId="2919" xr:uid="{00000000-0005-0000-0000-0000540B0000}"/>
    <cellStyle name="40% - Accent3 2 4 3 2" xfId="2920" xr:uid="{00000000-0005-0000-0000-0000550B0000}"/>
    <cellStyle name="40% - Accent3 2 4 4" xfId="2921" xr:uid="{00000000-0005-0000-0000-0000560B0000}"/>
    <cellStyle name="40% - Accent3 2 4 4 2" xfId="2922" xr:uid="{00000000-0005-0000-0000-0000570B0000}"/>
    <cellStyle name="40% - Accent3 2 4 5" xfId="2923" xr:uid="{00000000-0005-0000-0000-0000580B0000}"/>
    <cellStyle name="40% - Accent3 2 4 5 2" xfId="2924" xr:uid="{00000000-0005-0000-0000-0000590B0000}"/>
    <cellStyle name="40% - Accent3 2 4 6" xfId="2925" xr:uid="{00000000-0005-0000-0000-00005A0B0000}"/>
    <cellStyle name="40% - Accent3 2 5" xfId="2926" xr:uid="{00000000-0005-0000-0000-00005B0B0000}"/>
    <cellStyle name="40% - Accent3 2 5 2" xfId="2927" xr:uid="{00000000-0005-0000-0000-00005C0B0000}"/>
    <cellStyle name="40% - Accent3 2 6" xfId="2928" xr:uid="{00000000-0005-0000-0000-00005D0B0000}"/>
    <cellStyle name="40% - Accent3 2 6 2" xfId="2929" xr:uid="{00000000-0005-0000-0000-00005E0B0000}"/>
    <cellStyle name="40% - Accent3 2 7" xfId="2930" xr:uid="{00000000-0005-0000-0000-00005F0B0000}"/>
    <cellStyle name="40% - Accent3 2 7 2" xfId="2931" xr:uid="{00000000-0005-0000-0000-0000600B0000}"/>
    <cellStyle name="40% - Accent3 2 8" xfId="2932" xr:uid="{00000000-0005-0000-0000-0000610B0000}"/>
    <cellStyle name="40% - Accent3 2 8 2" xfId="2933" xr:uid="{00000000-0005-0000-0000-0000620B0000}"/>
    <cellStyle name="40% - Accent3 2 9" xfId="2934" xr:uid="{00000000-0005-0000-0000-0000630B0000}"/>
    <cellStyle name="40% - Accent3 2 9 2" xfId="2935" xr:uid="{00000000-0005-0000-0000-0000640B0000}"/>
    <cellStyle name="40% - Accent3 20" xfId="2936" xr:uid="{00000000-0005-0000-0000-0000650B0000}"/>
    <cellStyle name="40% - Accent3 20 2" xfId="2937" xr:uid="{00000000-0005-0000-0000-0000660B0000}"/>
    <cellStyle name="40% - Accent3 3" xfId="2938" xr:uid="{00000000-0005-0000-0000-0000670B0000}"/>
    <cellStyle name="40% - Accent3 3 10" xfId="2939" xr:uid="{00000000-0005-0000-0000-0000680B0000}"/>
    <cellStyle name="40% - Accent3 3 10 2" xfId="2940" xr:uid="{00000000-0005-0000-0000-0000690B0000}"/>
    <cellStyle name="40% - Accent3 3 11" xfId="2941" xr:uid="{00000000-0005-0000-0000-00006A0B0000}"/>
    <cellStyle name="40% - Accent3 3 2" xfId="2942" xr:uid="{00000000-0005-0000-0000-00006B0B0000}"/>
    <cellStyle name="40% - Accent3 3 2 10" xfId="2943" xr:uid="{00000000-0005-0000-0000-00006C0B0000}"/>
    <cellStyle name="40% - Accent3 3 2 2" xfId="2944" xr:uid="{00000000-0005-0000-0000-00006D0B0000}"/>
    <cellStyle name="40% - Accent3 3 2 2 2" xfId="2945" xr:uid="{00000000-0005-0000-0000-00006E0B0000}"/>
    <cellStyle name="40% - Accent3 3 2 2 2 2" xfId="2946" xr:uid="{00000000-0005-0000-0000-00006F0B0000}"/>
    <cellStyle name="40% - Accent3 3 2 2 3" xfId="2947" xr:uid="{00000000-0005-0000-0000-0000700B0000}"/>
    <cellStyle name="40% - Accent3 3 2 2 3 2" xfId="2948" xr:uid="{00000000-0005-0000-0000-0000710B0000}"/>
    <cellStyle name="40% - Accent3 3 2 2 4" xfId="2949" xr:uid="{00000000-0005-0000-0000-0000720B0000}"/>
    <cellStyle name="40% - Accent3 3 2 2 4 2" xfId="2950" xr:uid="{00000000-0005-0000-0000-0000730B0000}"/>
    <cellStyle name="40% - Accent3 3 2 2 5" xfId="2951" xr:uid="{00000000-0005-0000-0000-0000740B0000}"/>
    <cellStyle name="40% - Accent3 3 2 2 5 2" xfId="2952" xr:uid="{00000000-0005-0000-0000-0000750B0000}"/>
    <cellStyle name="40% - Accent3 3 2 2 6" xfId="2953" xr:uid="{00000000-0005-0000-0000-0000760B0000}"/>
    <cellStyle name="40% - Accent3 3 2 3" xfId="2954" xr:uid="{00000000-0005-0000-0000-0000770B0000}"/>
    <cellStyle name="40% - Accent3 3 2 3 2" xfId="2955" xr:uid="{00000000-0005-0000-0000-0000780B0000}"/>
    <cellStyle name="40% - Accent3 3 2 3 2 2" xfId="2956" xr:uid="{00000000-0005-0000-0000-0000790B0000}"/>
    <cellStyle name="40% - Accent3 3 2 3 3" xfId="2957" xr:uid="{00000000-0005-0000-0000-00007A0B0000}"/>
    <cellStyle name="40% - Accent3 3 2 3 3 2" xfId="2958" xr:uid="{00000000-0005-0000-0000-00007B0B0000}"/>
    <cellStyle name="40% - Accent3 3 2 3 4" xfId="2959" xr:uid="{00000000-0005-0000-0000-00007C0B0000}"/>
    <cellStyle name="40% - Accent3 3 2 3 4 2" xfId="2960" xr:uid="{00000000-0005-0000-0000-00007D0B0000}"/>
    <cellStyle name="40% - Accent3 3 2 3 5" xfId="2961" xr:uid="{00000000-0005-0000-0000-00007E0B0000}"/>
    <cellStyle name="40% - Accent3 3 2 3 5 2" xfId="2962" xr:uid="{00000000-0005-0000-0000-00007F0B0000}"/>
    <cellStyle name="40% - Accent3 3 2 3 6" xfId="2963" xr:uid="{00000000-0005-0000-0000-0000800B0000}"/>
    <cellStyle name="40% - Accent3 3 2 4" xfId="2964" xr:uid="{00000000-0005-0000-0000-0000810B0000}"/>
    <cellStyle name="40% - Accent3 3 2 4 2" xfId="2965" xr:uid="{00000000-0005-0000-0000-0000820B0000}"/>
    <cellStyle name="40% - Accent3 3 2 5" xfId="2966" xr:uid="{00000000-0005-0000-0000-0000830B0000}"/>
    <cellStyle name="40% - Accent3 3 2 5 2" xfId="2967" xr:uid="{00000000-0005-0000-0000-0000840B0000}"/>
    <cellStyle name="40% - Accent3 3 2 6" xfId="2968" xr:uid="{00000000-0005-0000-0000-0000850B0000}"/>
    <cellStyle name="40% - Accent3 3 2 6 2" xfId="2969" xr:uid="{00000000-0005-0000-0000-0000860B0000}"/>
    <cellStyle name="40% - Accent3 3 2 7" xfId="2970" xr:uid="{00000000-0005-0000-0000-0000870B0000}"/>
    <cellStyle name="40% - Accent3 3 2 7 2" xfId="2971" xr:uid="{00000000-0005-0000-0000-0000880B0000}"/>
    <cellStyle name="40% - Accent3 3 2 8" xfId="2972" xr:uid="{00000000-0005-0000-0000-0000890B0000}"/>
    <cellStyle name="40% - Accent3 3 2 8 2" xfId="2973" xr:uid="{00000000-0005-0000-0000-00008A0B0000}"/>
    <cellStyle name="40% - Accent3 3 2 9" xfId="2974" xr:uid="{00000000-0005-0000-0000-00008B0B0000}"/>
    <cellStyle name="40% - Accent3 3 2 9 2" xfId="2975" xr:uid="{00000000-0005-0000-0000-00008C0B0000}"/>
    <cellStyle name="40% - Accent3 3 3" xfId="2976" xr:uid="{00000000-0005-0000-0000-00008D0B0000}"/>
    <cellStyle name="40% - Accent3 3 3 2" xfId="2977" xr:uid="{00000000-0005-0000-0000-00008E0B0000}"/>
    <cellStyle name="40% - Accent3 3 3 2 2" xfId="2978" xr:uid="{00000000-0005-0000-0000-00008F0B0000}"/>
    <cellStyle name="40% - Accent3 3 3 3" xfId="2979" xr:uid="{00000000-0005-0000-0000-0000900B0000}"/>
    <cellStyle name="40% - Accent3 3 3 3 2" xfId="2980" xr:uid="{00000000-0005-0000-0000-0000910B0000}"/>
    <cellStyle name="40% - Accent3 3 3 4" xfId="2981" xr:uid="{00000000-0005-0000-0000-0000920B0000}"/>
    <cellStyle name="40% - Accent3 3 3 4 2" xfId="2982" xr:uid="{00000000-0005-0000-0000-0000930B0000}"/>
    <cellStyle name="40% - Accent3 3 3 5" xfId="2983" xr:uid="{00000000-0005-0000-0000-0000940B0000}"/>
    <cellStyle name="40% - Accent3 3 3 5 2" xfId="2984" xr:uid="{00000000-0005-0000-0000-0000950B0000}"/>
    <cellStyle name="40% - Accent3 3 3 6" xfId="2985" xr:uid="{00000000-0005-0000-0000-0000960B0000}"/>
    <cellStyle name="40% - Accent3 3 4" xfId="2986" xr:uid="{00000000-0005-0000-0000-0000970B0000}"/>
    <cellStyle name="40% - Accent3 3 4 2" xfId="2987" xr:uid="{00000000-0005-0000-0000-0000980B0000}"/>
    <cellStyle name="40% - Accent3 3 4 2 2" xfId="2988" xr:uid="{00000000-0005-0000-0000-0000990B0000}"/>
    <cellStyle name="40% - Accent3 3 4 3" xfId="2989" xr:uid="{00000000-0005-0000-0000-00009A0B0000}"/>
    <cellStyle name="40% - Accent3 3 4 3 2" xfId="2990" xr:uid="{00000000-0005-0000-0000-00009B0B0000}"/>
    <cellStyle name="40% - Accent3 3 4 4" xfId="2991" xr:uid="{00000000-0005-0000-0000-00009C0B0000}"/>
    <cellStyle name="40% - Accent3 3 4 4 2" xfId="2992" xr:uid="{00000000-0005-0000-0000-00009D0B0000}"/>
    <cellStyle name="40% - Accent3 3 4 5" xfId="2993" xr:uid="{00000000-0005-0000-0000-00009E0B0000}"/>
    <cellStyle name="40% - Accent3 3 4 5 2" xfId="2994" xr:uid="{00000000-0005-0000-0000-00009F0B0000}"/>
    <cellStyle name="40% - Accent3 3 4 6" xfId="2995" xr:uid="{00000000-0005-0000-0000-0000A00B0000}"/>
    <cellStyle name="40% - Accent3 3 5" xfId="2996" xr:uid="{00000000-0005-0000-0000-0000A10B0000}"/>
    <cellStyle name="40% - Accent3 3 5 2" xfId="2997" xr:uid="{00000000-0005-0000-0000-0000A20B0000}"/>
    <cellStyle name="40% - Accent3 3 6" xfId="2998" xr:uid="{00000000-0005-0000-0000-0000A30B0000}"/>
    <cellStyle name="40% - Accent3 3 6 2" xfId="2999" xr:uid="{00000000-0005-0000-0000-0000A40B0000}"/>
    <cellStyle name="40% - Accent3 3 7" xfId="3000" xr:uid="{00000000-0005-0000-0000-0000A50B0000}"/>
    <cellStyle name="40% - Accent3 3 7 2" xfId="3001" xr:uid="{00000000-0005-0000-0000-0000A60B0000}"/>
    <cellStyle name="40% - Accent3 3 8" xfId="3002" xr:uid="{00000000-0005-0000-0000-0000A70B0000}"/>
    <cellStyle name="40% - Accent3 3 8 2" xfId="3003" xr:uid="{00000000-0005-0000-0000-0000A80B0000}"/>
    <cellStyle name="40% - Accent3 3 9" xfId="3004" xr:uid="{00000000-0005-0000-0000-0000A90B0000}"/>
    <cellStyle name="40% - Accent3 3 9 2" xfId="3005" xr:uid="{00000000-0005-0000-0000-0000AA0B0000}"/>
    <cellStyle name="40% - Accent3 4" xfId="3006" xr:uid="{00000000-0005-0000-0000-0000AB0B0000}"/>
    <cellStyle name="40% - Accent3 4 10" xfId="3007" xr:uid="{00000000-0005-0000-0000-0000AC0B0000}"/>
    <cellStyle name="40% - Accent3 4 10 2" xfId="3008" xr:uid="{00000000-0005-0000-0000-0000AD0B0000}"/>
    <cellStyle name="40% - Accent3 4 11" xfId="3009" xr:uid="{00000000-0005-0000-0000-0000AE0B0000}"/>
    <cellStyle name="40% - Accent3 4 2" xfId="3010" xr:uid="{00000000-0005-0000-0000-0000AF0B0000}"/>
    <cellStyle name="40% - Accent3 4 2 10" xfId="3011" xr:uid="{00000000-0005-0000-0000-0000B00B0000}"/>
    <cellStyle name="40% - Accent3 4 2 2" xfId="3012" xr:uid="{00000000-0005-0000-0000-0000B10B0000}"/>
    <cellStyle name="40% - Accent3 4 2 2 2" xfId="3013" xr:uid="{00000000-0005-0000-0000-0000B20B0000}"/>
    <cellStyle name="40% - Accent3 4 2 2 2 2" xfId="3014" xr:uid="{00000000-0005-0000-0000-0000B30B0000}"/>
    <cellStyle name="40% - Accent3 4 2 2 3" xfId="3015" xr:uid="{00000000-0005-0000-0000-0000B40B0000}"/>
    <cellStyle name="40% - Accent3 4 2 2 3 2" xfId="3016" xr:uid="{00000000-0005-0000-0000-0000B50B0000}"/>
    <cellStyle name="40% - Accent3 4 2 2 4" xfId="3017" xr:uid="{00000000-0005-0000-0000-0000B60B0000}"/>
    <cellStyle name="40% - Accent3 4 2 2 4 2" xfId="3018" xr:uid="{00000000-0005-0000-0000-0000B70B0000}"/>
    <cellStyle name="40% - Accent3 4 2 2 5" xfId="3019" xr:uid="{00000000-0005-0000-0000-0000B80B0000}"/>
    <cellStyle name="40% - Accent3 4 2 2 5 2" xfId="3020" xr:uid="{00000000-0005-0000-0000-0000B90B0000}"/>
    <cellStyle name="40% - Accent3 4 2 2 6" xfId="3021" xr:uid="{00000000-0005-0000-0000-0000BA0B0000}"/>
    <cellStyle name="40% - Accent3 4 2 3" xfId="3022" xr:uid="{00000000-0005-0000-0000-0000BB0B0000}"/>
    <cellStyle name="40% - Accent3 4 2 3 2" xfId="3023" xr:uid="{00000000-0005-0000-0000-0000BC0B0000}"/>
    <cellStyle name="40% - Accent3 4 2 3 2 2" xfId="3024" xr:uid="{00000000-0005-0000-0000-0000BD0B0000}"/>
    <cellStyle name="40% - Accent3 4 2 3 3" xfId="3025" xr:uid="{00000000-0005-0000-0000-0000BE0B0000}"/>
    <cellStyle name="40% - Accent3 4 2 3 3 2" xfId="3026" xr:uid="{00000000-0005-0000-0000-0000BF0B0000}"/>
    <cellStyle name="40% - Accent3 4 2 3 4" xfId="3027" xr:uid="{00000000-0005-0000-0000-0000C00B0000}"/>
    <cellStyle name="40% - Accent3 4 2 3 4 2" xfId="3028" xr:uid="{00000000-0005-0000-0000-0000C10B0000}"/>
    <cellStyle name="40% - Accent3 4 2 3 5" xfId="3029" xr:uid="{00000000-0005-0000-0000-0000C20B0000}"/>
    <cellStyle name="40% - Accent3 4 2 3 5 2" xfId="3030" xr:uid="{00000000-0005-0000-0000-0000C30B0000}"/>
    <cellStyle name="40% - Accent3 4 2 3 6" xfId="3031" xr:uid="{00000000-0005-0000-0000-0000C40B0000}"/>
    <cellStyle name="40% - Accent3 4 2 4" xfId="3032" xr:uid="{00000000-0005-0000-0000-0000C50B0000}"/>
    <cellStyle name="40% - Accent3 4 2 4 2" xfId="3033" xr:uid="{00000000-0005-0000-0000-0000C60B0000}"/>
    <cellStyle name="40% - Accent3 4 2 5" xfId="3034" xr:uid="{00000000-0005-0000-0000-0000C70B0000}"/>
    <cellStyle name="40% - Accent3 4 2 5 2" xfId="3035" xr:uid="{00000000-0005-0000-0000-0000C80B0000}"/>
    <cellStyle name="40% - Accent3 4 2 6" xfId="3036" xr:uid="{00000000-0005-0000-0000-0000C90B0000}"/>
    <cellStyle name="40% - Accent3 4 2 6 2" xfId="3037" xr:uid="{00000000-0005-0000-0000-0000CA0B0000}"/>
    <cellStyle name="40% - Accent3 4 2 7" xfId="3038" xr:uid="{00000000-0005-0000-0000-0000CB0B0000}"/>
    <cellStyle name="40% - Accent3 4 2 7 2" xfId="3039" xr:uid="{00000000-0005-0000-0000-0000CC0B0000}"/>
    <cellStyle name="40% - Accent3 4 2 8" xfId="3040" xr:uid="{00000000-0005-0000-0000-0000CD0B0000}"/>
    <cellStyle name="40% - Accent3 4 2 8 2" xfId="3041" xr:uid="{00000000-0005-0000-0000-0000CE0B0000}"/>
    <cellStyle name="40% - Accent3 4 2 9" xfId="3042" xr:uid="{00000000-0005-0000-0000-0000CF0B0000}"/>
    <cellStyle name="40% - Accent3 4 2 9 2" xfId="3043" xr:uid="{00000000-0005-0000-0000-0000D00B0000}"/>
    <cellStyle name="40% - Accent3 4 3" xfId="3044" xr:uid="{00000000-0005-0000-0000-0000D10B0000}"/>
    <cellStyle name="40% - Accent3 4 3 2" xfId="3045" xr:uid="{00000000-0005-0000-0000-0000D20B0000}"/>
    <cellStyle name="40% - Accent3 4 3 2 2" xfId="3046" xr:uid="{00000000-0005-0000-0000-0000D30B0000}"/>
    <cellStyle name="40% - Accent3 4 3 3" xfId="3047" xr:uid="{00000000-0005-0000-0000-0000D40B0000}"/>
    <cellStyle name="40% - Accent3 4 3 3 2" xfId="3048" xr:uid="{00000000-0005-0000-0000-0000D50B0000}"/>
    <cellStyle name="40% - Accent3 4 3 4" xfId="3049" xr:uid="{00000000-0005-0000-0000-0000D60B0000}"/>
    <cellStyle name="40% - Accent3 4 3 4 2" xfId="3050" xr:uid="{00000000-0005-0000-0000-0000D70B0000}"/>
    <cellStyle name="40% - Accent3 4 3 5" xfId="3051" xr:uid="{00000000-0005-0000-0000-0000D80B0000}"/>
    <cellStyle name="40% - Accent3 4 3 5 2" xfId="3052" xr:uid="{00000000-0005-0000-0000-0000D90B0000}"/>
    <cellStyle name="40% - Accent3 4 3 6" xfId="3053" xr:uid="{00000000-0005-0000-0000-0000DA0B0000}"/>
    <cellStyle name="40% - Accent3 4 4" xfId="3054" xr:uid="{00000000-0005-0000-0000-0000DB0B0000}"/>
    <cellStyle name="40% - Accent3 4 4 2" xfId="3055" xr:uid="{00000000-0005-0000-0000-0000DC0B0000}"/>
    <cellStyle name="40% - Accent3 4 4 2 2" xfId="3056" xr:uid="{00000000-0005-0000-0000-0000DD0B0000}"/>
    <cellStyle name="40% - Accent3 4 4 3" xfId="3057" xr:uid="{00000000-0005-0000-0000-0000DE0B0000}"/>
    <cellStyle name="40% - Accent3 4 4 3 2" xfId="3058" xr:uid="{00000000-0005-0000-0000-0000DF0B0000}"/>
    <cellStyle name="40% - Accent3 4 4 4" xfId="3059" xr:uid="{00000000-0005-0000-0000-0000E00B0000}"/>
    <cellStyle name="40% - Accent3 4 4 4 2" xfId="3060" xr:uid="{00000000-0005-0000-0000-0000E10B0000}"/>
    <cellStyle name="40% - Accent3 4 4 5" xfId="3061" xr:uid="{00000000-0005-0000-0000-0000E20B0000}"/>
    <cellStyle name="40% - Accent3 4 4 5 2" xfId="3062" xr:uid="{00000000-0005-0000-0000-0000E30B0000}"/>
    <cellStyle name="40% - Accent3 4 4 6" xfId="3063" xr:uid="{00000000-0005-0000-0000-0000E40B0000}"/>
    <cellStyle name="40% - Accent3 4 5" xfId="3064" xr:uid="{00000000-0005-0000-0000-0000E50B0000}"/>
    <cellStyle name="40% - Accent3 4 5 2" xfId="3065" xr:uid="{00000000-0005-0000-0000-0000E60B0000}"/>
    <cellStyle name="40% - Accent3 4 6" xfId="3066" xr:uid="{00000000-0005-0000-0000-0000E70B0000}"/>
    <cellStyle name="40% - Accent3 4 6 2" xfId="3067" xr:uid="{00000000-0005-0000-0000-0000E80B0000}"/>
    <cellStyle name="40% - Accent3 4 7" xfId="3068" xr:uid="{00000000-0005-0000-0000-0000E90B0000}"/>
    <cellStyle name="40% - Accent3 4 7 2" xfId="3069" xr:uid="{00000000-0005-0000-0000-0000EA0B0000}"/>
    <cellStyle name="40% - Accent3 4 8" xfId="3070" xr:uid="{00000000-0005-0000-0000-0000EB0B0000}"/>
    <cellStyle name="40% - Accent3 4 8 2" xfId="3071" xr:uid="{00000000-0005-0000-0000-0000EC0B0000}"/>
    <cellStyle name="40% - Accent3 4 9" xfId="3072" xr:uid="{00000000-0005-0000-0000-0000ED0B0000}"/>
    <cellStyle name="40% - Accent3 4 9 2" xfId="3073" xr:uid="{00000000-0005-0000-0000-0000EE0B0000}"/>
    <cellStyle name="40% - Accent3 5" xfId="3074" xr:uid="{00000000-0005-0000-0000-0000EF0B0000}"/>
    <cellStyle name="40% - Accent3 5 10" xfId="3075" xr:uid="{00000000-0005-0000-0000-0000F00B0000}"/>
    <cellStyle name="40% - Accent3 5 2" xfId="3076" xr:uid="{00000000-0005-0000-0000-0000F10B0000}"/>
    <cellStyle name="40% - Accent3 5 2 2" xfId="3077" xr:uid="{00000000-0005-0000-0000-0000F20B0000}"/>
    <cellStyle name="40% - Accent3 5 2 2 2" xfId="3078" xr:uid="{00000000-0005-0000-0000-0000F30B0000}"/>
    <cellStyle name="40% - Accent3 5 2 3" xfId="3079" xr:uid="{00000000-0005-0000-0000-0000F40B0000}"/>
    <cellStyle name="40% - Accent3 5 2 3 2" xfId="3080" xr:uid="{00000000-0005-0000-0000-0000F50B0000}"/>
    <cellStyle name="40% - Accent3 5 2 4" xfId="3081" xr:uid="{00000000-0005-0000-0000-0000F60B0000}"/>
    <cellStyle name="40% - Accent3 5 2 4 2" xfId="3082" xr:uid="{00000000-0005-0000-0000-0000F70B0000}"/>
    <cellStyle name="40% - Accent3 5 2 5" xfId="3083" xr:uid="{00000000-0005-0000-0000-0000F80B0000}"/>
    <cellStyle name="40% - Accent3 5 2 5 2" xfId="3084" xr:uid="{00000000-0005-0000-0000-0000F90B0000}"/>
    <cellStyle name="40% - Accent3 5 2 6" xfId="3085" xr:uid="{00000000-0005-0000-0000-0000FA0B0000}"/>
    <cellStyle name="40% - Accent3 5 3" xfId="3086" xr:uid="{00000000-0005-0000-0000-0000FB0B0000}"/>
    <cellStyle name="40% - Accent3 5 3 2" xfId="3087" xr:uid="{00000000-0005-0000-0000-0000FC0B0000}"/>
    <cellStyle name="40% - Accent3 5 3 2 2" xfId="3088" xr:uid="{00000000-0005-0000-0000-0000FD0B0000}"/>
    <cellStyle name="40% - Accent3 5 3 3" xfId="3089" xr:uid="{00000000-0005-0000-0000-0000FE0B0000}"/>
    <cellStyle name="40% - Accent3 5 3 3 2" xfId="3090" xr:uid="{00000000-0005-0000-0000-0000FF0B0000}"/>
    <cellStyle name="40% - Accent3 5 3 4" xfId="3091" xr:uid="{00000000-0005-0000-0000-0000000C0000}"/>
    <cellStyle name="40% - Accent3 5 3 4 2" xfId="3092" xr:uid="{00000000-0005-0000-0000-0000010C0000}"/>
    <cellStyle name="40% - Accent3 5 3 5" xfId="3093" xr:uid="{00000000-0005-0000-0000-0000020C0000}"/>
    <cellStyle name="40% - Accent3 5 3 5 2" xfId="3094" xr:uid="{00000000-0005-0000-0000-0000030C0000}"/>
    <cellStyle name="40% - Accent3 5 3 6" xfId="3095" xr:uid="{00000000-0005-0000-0000-0000040C0000}"/>
    <cellStyle name="40% - Accent3 5 4" xfId="3096" xr:uid="{00000000-0005-0000-0000-0000050C0000}"/>
    <cellStyle name="40% - Accent3 5 4 2" xfId="3097" xr:uid="{00000000-0005-0000-0000-0000060C0000}"/>
    <cellStyle name="40% - Accent3 5 5" xfId="3098" xr:uid="{00000000-0005-0000-0000-0000070C0000}"/>
    <cellStyle name="40% - Accent3 5 5 2" xfId="3099" xr:uid="{00000000-0005-0000-0000-0000080C0000}"/>
    <cellStyle name="40% - Accent3 5 6" xfId="3100" xr:uid="{00000000-0005-0000-0000-0000090C0000}"/>
    <cellStyle name="40% - Accent3 5 6 2" xfId="3101" xr:uid="{00000000-0005-0000-0000-00000A0C0000}"/>
    <cellStyle name="40% - Accent3 5 7" xfId="3102" xr:uid="{00000000-0005-0000-0000-00000B0C0000}"/>
    <cellStyle name="40% - Accent3 5 7 2" xfId="3103" xr:uid="{00000000-0005-0000-0000-00000C0C0000}"/>
    <cellStyle name="40% - Accent3 5 8" xfId="3104" xr:uid="{00000000-0005-0000-0000-00000D0C0000}"/>
    <cellStyle name="40% - Accent3 5 8 2" xfId="3105" xr:uid="{00000000-0005-0000-0000-00000E0C0000}"/>
    <cellStyle name="40% - Accent3 5 9" xfId="3106" xr:uid="{00000000-0005-0000-0000-00000F0C0000}"/>
    <cellStyle name="40% - Accent3 5 9 2" xfId="3107" xr:uid="{00000000-0005-0000-0000-0000100C0000}"/>
    <cellStyle name="40% - Accent3 6" xfId="3108" xr:uid="{00000000-0005-0000-0000-0000110C0000}"/>
    <cellStyle name="40% - Accent3 6 10" xfId="3109" xr:uid="{00000000-0005-0000-0000-0000120C0000}"/>
    <cellStyle name="40% - Accent3 6 2" xfId="3110" xr:uid="{00000000-0005-0000-0000-0000130C0000}"/>
    <cellStyle name="40% - Accent3 6 2 2" xfId="3111" xr:uid="{00000000-0005-0000-0000-0000140C0000}"/>
    <cellStyle name="40% - Accent3 6 2 2 2" xfId="3112" xr:uid="{00000000-0005-0000-0000-0000150C0000}"/>
    <cellStyle name="40% - Accent3 6 2 3" xfId="3113" xr:uid="{00000000-0005-0000-0000-0000160C0000}"/>
    <cellStyle name="40% - Accent3 6 2 3 2" xfId="3114" xr:uid="{00000000-0005-0000-0000-0000170C0000}"/>
    <cellStyle name="40% - Accent3 6 2 4" xfId="3115" xr:uid="{00000000-0005-0000-0000-0000180C0000}"/>
    <cellStyle name="40% - Accent3 6 2 4 2" xfId="3116" xr:uid="{00000000-0005-0000-0000-0000190C0000}"/>
    <cellStyle name="40% - Accent3 6 2 5" xfId="3117" xr:uid="{00000000-0005-0000-0000-00001A0C0000}"/>
    <cellStyle name="40% - Accent3 6 2 5 2" xfId="3118" xr:uid="{00000000-0005-0000-0000-00001B0C0000}"/>
    <cellStyle name="40% - Accent3 6 2 6" xfId="3119" xr:uid="{00000000-0005-0000-0000-00001C0C0000}"/>
    <cellStyle name="40% - Accent3 6 3" xfId="3120" xr:uid="{00000000-0005-0000-0000-00001D0C0000}"/>
    <cellStyle name="40% - Accent3 6 3 2" xfId="3121" xr:uid="{00000000-0005-0000-0000-00001E0C0000}"/>
    <cellStyle name="40% - Accent3 6 3 2 2" xfId="3122" xr:uid="{00000000-0005-0000-0000-00001F0C0000}"/>
    <cellStyle name="40% - Accent3 6 3 3" xfId="3123" xr:uid="{00000000-0005-0000-0000-0000200C0000}"/>
    <cellStyle name="40% - Accent3 6 3 3 2" xfId="3124" xr:uid="{00000000-0005-0000-0000-0000210C0000}"/>
    <cellStyle name="40% - Accent3 6 3 4" xfId="3125" xr:uid="{00000000-0005-0000-0000-0000220C0000}"/>
    <cellStyle name="40% - Accent3 6 3 4 2" xfId="3126" xr:uid="{00000000-0005-0000-0000-0000230C0000}"/>
    <cellStyle name="40% - Accent3 6 3 5" xfId="3127" xr:uid="{00000000-0005-0000-0000-0000240C0000}"/>
    <cellStyle name="40% - Accent3 6 3 5 2" xfId="3128" xr:uid="{00000000-0005-0000-0000-0000250C0000}"/>
    <cellStyle name="40% - Accent3 6 3 6" xfId="3129" xr:uid="{00000000-0005-0000-0000-0000260C0000}"/>
    <cellStyle name="40% - Accent3 6 4" xfId="3130" xr:uid="{00000000-0005-0000-0000-0000270C0000}"/>
    <cellStyle name="40% - Accent3 6 4 2" xfId="3131" xr:uid="{00000000-0005-0000-0000-0000280C0000}"/>
    <cellStyle name="40% - Accent3 6 5" xfId="3132" xr:uid="{00000000-0005-0000-0000-0000290C0000}"/>
    <cellStyle name="40% - Accent3 6 5 2" xfId="3133" xr:uid="{00000000-0005-0000-0000-00002A0C0000}"/>
    <cellStyle name="40% - Accent3 6 6" xfId="3134" xr:uid="{00000000-0005-0000-0000-00002B0C0000}"/>
    <cellStyle name="40% - Accent3 6 6 2" xfId="3135" xr:uid="{00000000-0005-0000-0000-00002C0C0000}"/>
    <cellStyle name="40% - Accent3 6 7" xfId="3136" xr:uid="{00000000-0005-0000-0000-00002D0C0000}"/>
    <cellStyle name="40% - Accent3 6 7 2" xfId="3137" xr:uid="{00000000-0005-0000-0000-00002E0C0000}"/>
    <cellStyle name="40% - Accent3 6 8" xfId="3138" xr:uid="{00000000-0005-0000-0000-00002F0C0000}"/>
    <cellStyle name="40% - Accent3 6 8 2" xfId="3139" xr:uid="{00000000-0005-0000-0000-0000300C0000}"/>
    <cellStyle name="40% - Accent3 6 9" xfId="3140" xr:uid="{00000000-0005-0000-0000-0000310C0000}"/>
    <cellStyle name="40% - Accent3 6 9 2" xfId="3141" xr:uid="{00000000-0005-0000-0000-0000320C0000}"/>
    <cellStyle name="40% - Accent3 7" xfId="3142" xr:uid="{00000000-0005-0000-0000-0000330C0000}"/>
    <cellStyle name="40% - Accent3 7 10" xfId="3143" xr:uid="{00000000-0005-0000-0000-0000340C0000}"/>
    <cellStyle name="40% - Accent3 7 2" xfId="3144" xr:uid="{00000000-0005-0000-0000-0000350C0000}"/>
    <cellStyle name="40% - Accent3 7 2 2" xfId="3145" xr:uid="{00000000-0005-0000-0000-0000360C0000}"/>
    <cellStyle name="40% - Accent3 7 2 2 2" xfId="3146" xr:uid="{00000000-0005-0000-0000-0000370C0000}"/>
    <cellStyle name="40% - Accent3 7 2 3" xfId="3147" xr:uid="{00000000-0005-0000-0000-0000380C0000}"/>
    <cellStyle name="40% - Accent3 7 2 3 2" xfId="3148" xr:uid="{00000000-0005-0000-0000-0000390C0000}"/>
    <cellStyle name="40% - Accent3 7 2 4" xfId="3149" xr:uid="{00000000-0005-0000-0000-00003A0C0000}"/>
    <cellStyle name="40% - Accent3 7 2 4 2" xfId="3150" xr:uid="{00000000-0005-0000-0000-00003B0C0000}"/>
    <cellStyle name="40% - Accent3 7 2 5" xfId="3151" xr:uid="{00000000-0005-0000-0000-00003C0C0000}"/>
    <cellStyle name="40% - Accent3 7 2 5 2" xfId="3152" xr:uid="{00000000-0005-0000-0000-00003D0C0000}"/>
    <cellStyle name="40% - Accent3 7 2 6" xfId="3153" xr:uid="{00000000-0005-0000-0000-00003E0C0000}"/>
    <cellStyle name="40% - Accent3 7 3" xfId="3154" xr:uid="{00000000-0005-0000-0000-00003F0C0000}"/>
    <cellStyle name="40% - Accent3 7 3 2" xfId="3155" xr:uid="{00000000-0005-0000-0000-0000400C0000}"/>
    <cellStyle name="40% - Accent3 7 3 2 2" xfId="3156" xr:uid="{00000000-0005-0000-0000-0000410C0000}"/>
    <cellStyle name="40% - Accent3 7 3 3" xfId="3157" xr:uid="{00000000-0005-0000-0000-0000420C0000}"/>
    <cellStyle name="40% - Accent3 7 3 3 2" xfId="3158" xr:uid="{00000000-0005-0000-0000-0000430C0000}"/>
    <cellStyle name="40% - Accent3 7 3 4" xfId="3159" xr:uid="{00000000-0005-0000-0000-0000440C0000}"/>
    <cellStyle name="40% - Accent3 7 3 4 2" xfId="3160" xr:uid="{00000000-0005-0000-0000-0000450C0000}"/>
    <cellStyle name="40% - Accent3 7 3 5" xfId="3161" xr:uid="{00000000-0005-0000-0000-0000460C0000}"/>
    <cellStyle name="40% - Accent3 7 3 5 2" xfId="3162" xr:uid="{00000000-0005-0000-0000-0000470C0000}"/>
    <cellStyle name="40% - Accent3 7 3 6" xfId="3163" xr:uid="{00000000-0005-0000-0000-0000480C0000}"/>
    <cellStyle name="40% - Accent3 7 4" xfId="3164" xr:uid="{00000000-0005-0000-0000-0000490C0000}"/>
    <cellStyle name="40% - Accent3 7 4 2" xfId="3165" xr:uid="{00000000-0005-0000-0000-00004A0C0000}"/>
    <cellStyle name="40% - Accent3 7 5" xfId="3166" xr:uid="{00000000-0005-0000-0000-00004B0C0000}"/>
    <cellStyle name="40% - Accent3 7 5 2" xfId="3167" xr:uid="{00000000-0005-0000-0000-00004C0C0000}"/>
    <cellStyle name="40% - Accent3 7 6" xfId="3168" xr:uid="{00000000-0005-0000-0000-00004D0C0000}"/>
    <cellStyle name="40% - Accent3 7 6 2" xfId="3169" xr:uid="{00000000-0005-0000-0000-00004E0C0000}"/>
    <cellStyle name="40% - Accent3 7 7" xfId="3170" xr:uid="{00000000-0005-0000-0000-00004F0C0000}"/>
    <cellStyle name="40% - Accent3 7 7 2" xfId="3171" xr:uid="{00000000-0005-0000-0000-0000500C0000}"/>
    <cellStyle name="40% - Accent3 7 8" xfId="3172" xr:uid="{00000000-0005-0000-0000-0000510C0000}"/>
    <cellStyle name="40% - Accent3 7 8 2" xfId="3173" xr:uid="{00000000-0005-0000-0000-0000520C0000}"/>
    <cellStyle name="40% - Accent3 7 9" xfId="3174" xr:uid="{00000000-0005-0000-0000-0000530C0000}"/>
    <cellStyle name="40% - Accent3 7 9 2" xfId="3175" xr:uid="{00000000-0005-0000-0000-0000540C0000}"/>
    <cellStyle name="40% - Accent3 8" xfId="3176" xr:uid="{00000000-0005-0000-0000-0000550C0000}"/>
    <cellStyle name="40% - Accent3 8 2" xfId="3177" xr:uid="{00000000-0005-0000-0000-0000560C0000}"/>
    <cellStyle name="40% - Accent3 8 2 2" xfId="3178" xr:uid="{00000000-0005-0000-0000-0000570C0000}"/>
    <cellStyle name="40% - Accent3 8 3" xfId="3179" xr:uid="{00000000-0005-0000-0000-0000580C0000}"/>
    <cellStyle name="40% - Accent3 8 3 2" xfId="3180" xr:uid="{00000000-0005-0000-0000-0000590C0000}"/>
    <cellStyle name="40% - Accent3 8 4" xfId="3181" xr:uid="{00000000-0005-0000-0000-00005A0C0000}"/>
    <cellStyle name="40% - Accent3 8 4 2" xfId="3182" xr:uid="{00000000-0005-0000-0000-00005B0C0000}"/>
    <cellStyle name="40% - Accent3 8 5" xfId="3183" xr:uid="{00000000-0005-0000-0000-00005C0C0000}"/>
    <cellStyle name="40% - Accent3 8 5 2" xfId="3184" xr:uid="{00000000-0005-0000-0000-00005D0C0000}"/>
    <cellStyle name="40% - Accent3 8 6" xfId="3185" xr:uid="{00000000-0005-0000-0000-00005E0C0000}"/>
    <cellStyle name="40% - Accent3 9" xfId="3186" xr:uid="{00000000-0005-0000-0000-00005F0C0000}"/>
    <cellStyle name="40% - Accent3 9 2" xfId="3187" xr:uid="{00000000-0005-0000-0000-0000600C0000}"/>
    <cellStyle name="40% - Accent3 9 2 2" xfId="3188" xr:uid="{00000000-0005-0000-0000-0000610C0000}"/>
    <cellStyle name="40% - Accent3 9 3" xfId="3189" xr:uid="{00000000-0005-0000-0000-0000620C0000}"/>
    <cellStyle name="40% - Accent3 9 3 2" xfId="3190" xr:uid="{00000000-0005-0000-0000-0000630C0000}"/>
    <cellStyle name="40% - Accent3 9 4" xfId="3191" xr:uid="{00000000-0005-0000-0000-0000640C0000}"/>
    <cellStyle name="40% - Accent3 9 4 2" xfId="3192" xr:uid="{00000000-0005-0000-0000-0000650C0000}"/>
    <cellStyle name="40% - Accent3 9 5" xfId="3193" xr:uid="{00000000-0005-0000-0000-0000660C0000}"/>
    <cellStyle name="40% - Accent3 9 5 2" xfId="3194" xr:uid="{00000000-0005-0000-0000-0000670C0000}"/>
    <cellStyle name="40% - Accent3 9 6" xfId="3195" xr:uid="{00000000-0005-0000-0000-0000680C0000}"/>
    <cellStyle name="40% - Accent4 10" xfId="3196" xr:uid="{00000000-0005-0000-0000-0000690C0000}"/>
    <cellStyle name="40% - Accent4 10 2" xfId="3197" xr:uid="{00000000-0005-0000-0000-00006A0C0000}"/>
    <cellStyle name="40% - Accent4 10 2 2" xfId="3198" xr:uid="{00000000-0005-0000-0000-00006B0C0000}"/>
    <cellStyle name="40% - Accent4 10 3" xfId="3199" xr:uid="{00000000-0005-0000-0000-00006C0C0000}"/>
    <cellStyle name="40% - Accent4 10 3 2" xfId="3200" xr:uid="{00000000-0005-0000-0000-00006D0C0000}"/>
    <cellStyle name="40% - Accent4 10 4" xfId="3201" xr:uid="{00000000-0005-0000-0000-00006E0C0000}"/>
    <cellStyle name="40% - Accent4 11" xfId="3202" xr:uid="{00000000-0005-0000-0000-00006F0C0000}"/>
    <cellStyle name="40% - Accent4 11 2" xfId="3203" xr:uid="{00000000-0005-0000-0000-0000700C0000}"/>
    <cellStyle name="40% - Accent4 12" xfId="3204" xr:uid="{00000000-0005-0000-0000-0000710C0000}"/>
    <cellStyle name="40% - Accent4 12 2" xfId="3205" xr:uid="{00000000-0005-0000-0000-0000720C0000}"/>
    <cellStyle name="40% - Accent4 13" xfId="3206" xr:uid="{00000000-0005-0000-0000-0000730C0000}"/>
    <cellStyle name="40% - Accent4 13 2" xfId="3207" xr:uid="{00000000-0005-0000-0000-0000740C0000}"/>
    <cellStyle name="40% - Accent4 14" xfId="3208" xr:uid="{00000000-0005-0000-0000-0000750C0000}"/>
    <cellStyle name="40% - Accent4 14 2" xfId="3209" xr:uid="{00000000-0005-0000-0000-0000760C0000}"/>
    <cellStyle name="40% - Accent4 15" xfId="3210" xr:uid="{00000000-0005-0000-0000-0000770C0000}"/>
    <cellStyle name="40% - Accent4 15 2" xfId="3211" xr:uid="{00000000-0005-0000-0000-0000780C0000}"/>
    <cellStyle name="40% - Accent4 16" xfId="3212" xr:uid="{00000000-0005-0000-0000-0000790C0000}"/>
    <cellStyle name="40% - Accent4 16 2" xfId="3213" xr:uid="{00000000-0005-0000-0000-00007A0C0000}"/>
    <cellStyle name="40% - Accent4 17" xfId="3214" xr:uid="{00000000-0005-0000-0000-00007B0C0000}"/>
    <cellStyle name="40% - Accent4 17 2" xfId="3215" xr:uid="{00000000-0005-0000-0000-00007C0C0000}"/>
    <cellStyle name="40% - Accent4 18" xfId="3216" xr:uid="{00000000-0005-0000-0000-00007D0C0000}"/>
    <cellStyle name="40% - Accent4 18 2" xfId="3217" xr:uid="{00000000-0005-0000-0000-00007E0C0000}"/>
    <cellStyle name="40% - Accent4 19" xfId="3218" xr:uid="{00000000-0005-0000-0000-00007F0C0000}"/>
    <cellStyle name="40% - Accent4 19 2" xfId="3219" xr:uid="{00000000-0005-0000-0000-0000800C0000}"/>
    <cellStyle name="40% - Accent4 2" xfId="3220" xr:uid="{00000000-0005-0000-0000-0000810C0000}"/>
    <cellStyle name="40% - Accent4 2 10" xfId="3221" xr:uid="{00000000-0005-0000-0000-0000820C0000}"/>
    <cellStyle name="40% - Accent4 2 10 2" xfId="3222" xr:uid="{00000000-0005-0000-0000-0000830C0000}"/>
    <cellStyle name="40% - Accent4 2 11" xfId="3223" xr:uid="{00000000-0005-0000-0000-0000840C0000}"/>
    <cellStyle name="40% - Accent4 2 2" xfId="3224" xr:uid="{00000000-0005-0000-0000-0000850C0000}"/>
    <cellStyle name="40% - Accent4 2 2 10" xfId="3225" xr:uid="{00000000-0005-0000-0000-0000860C0000}"/>
    <cellStyle name="40% - Accent4 2 2 2" xfId="3226" xr:uid="{00000000-0005-0000-0000-0000870C0000}"/>
    <cellStyle name="40% - Accent4 2 2 2 2" xfId="3227" xr:uid="{00000000-0005-0000-0000-0000880C0000}"/>
    <cellStyle name="40% - Accent4 2 2 2 2 2" xfId="3228" xr:uid="{00000000-0005-0000-0000-0000890C0000}"/>
    <cellStyle name="40% - Accent4 2 2 2 3" xfId="3229" xr:uid="{00000000-0005-0000-0000-00008A0C0000}"/>
    <cellStyle name="40% - Accent4 2 2 2 3 2" xfId="3230" xr:uid="{00000000-0005-0000-0000-00008B0C0000}"/>
    <cellStyle name="40% - Accent4 2 2 2 4" xfId="3231" xr:uid="{00000000-0005-0000-0000-00008C0C0000}"/>
    <cellStyle name="40% - Accent4 2 2 2 4 2" xfId="3232" xr:uid="{00000000-0005-0000-0000-00008D0C0000}"/>
    <cellStyle name="40% - Accent4 2 2 2 5" xfId="3233" xr:uid="{00000000-0005-0000-0000-00008E0C0000}"/>
    <cellStyle name="40% - Accent4 2 2 2 5 2" xfId="3234" xr:uid="{00000000-0005-0000-0000-00008F0C0000}"/>
    <cellStyle name="40% - Accent4 2 2 2 6" xfId="3235" xr:uid="{00000000-0005-0000-0000-0000900C0000}"/>
    <cellStyle name="40% - Accent4 2 2 3" xfId="3236" xr:uid="{00000000-0005-0000-0000-0000910C0000}"/>
    <cellStyle name="40% - Accent4 2 2 3 2" xfId="3237" xr:uid="{00000000-0005-0000-0000-0000920C0000}"/>
    <cellStyle name="40% - Accent4 2 2 3 2 2" xfId="3238" xr:uid="{00000000-0005-0000-0000-0000930C0000}"/>
    <cellStyle name="40% - Accent4 2 2 3 3" xfId="3239" xr:uid="{00000000-0005-0000-0000-0000940C0000}"/>
    <cellStyle name="40% - Accent4 2 2 3 3 2" xfId="3240" xr:uid="{00000000-0005-0000-0000-0000950C0000}"/>
    <cellStyle name="40% - Accent4 2 2 3 4" xfId="3241" xr:uid="{00000000-0005-0000-0000-0000960C0000}"/>
    <cellStyle name="40% - Accent4 2 2 3 4 2" xfId="3242" xr:uid="{00000000-0005-0000-0000-0000970C0000}"/>
    <cellStyle name="40% - Accent4 2 2 3 5" xfId="3243" xr:uid="{00000000-0005-0000-0000-0000980C0000}"/>
    <cellStyle name="40% - Accent4 2 2 3 5 2" xfId="3244" xr:uid="{00000000-0005-0000-0000-0000990C0000}"/>
    <cellStyle name="40% - Accent4 2 2 3 6" xfId="3245" xr:uid="{00000000-0005-0000-0000-00009A0C0000}"/>
    <cellStyle name="40% - Accent4 2 2 4" xfId="3246" xr:uid="{00000000-0005-0000-0000-00009B0C0000}"/>
    <cellStyle name="40% - Accent4 2 2 4 2" xfId="3247" xr:uid="{00000000-0005-0000-0000-00009C0C0000}"/>
    <cellStyle name="40% - Accent4 2 2 5" xfId="3248" xr:uid="{00000000-0005-0000-0000-00009D0C0000}"/>
    <cellStyle name="40% - Accent4 2 2 5 2" xfId="3249" xr:uid="{00000000-0005-0000-0000-00009E0C0000}"/>
    <cellStyle name="40% - Accent4 2 2 6" xfId="3250" xr:uid="{00000000-0005-0000-0000-00009F0C0000}"/>
    <cellStyle name="40% - Accent4 2 2 6 2" xfId="3251" xr:uid="{00000000-0005-0000-0000-0000A00C0000}"/>
    <cellStyle name="40% - Accent4 2 2 7" xfId="3252" xr:uid="{00000000-0005-0000-0000-0000A10C0000}"/>
    <cellStyle name="40% - Accent4 2 2 7 2" xfId="3253" xr:uid="{00000000-0005-0000-0000-0000A20C0000}"/>
    <cellStyle name="40% - Accent4 2 2 8" xfId="3254" xr:uid="{00000000-0005-0000-0000-0000A30C0000}"/>
    <cellStyle name="40% - Accent4 2 2 8 2" xfId="3255" xr:uid="{00000000-0005-0000-0000-0000A40C0000}"/>
    <cellStyle name="40% - Accent4 2 2 9" xfId="3256" xr:uid="{00000000-0005-0000-0000-0000A50C0000}"/>
    <cellStyle name="40% - Accent4 2 2 9 2" xfId="3257" xr:uid="{00000000-0005-0000-0000-0000A60C0000}"/>
    <cellStyle name="40% - Accent4 2 3" xfId="3258" xr:uid="{00000000-0005-0000-0000-0000A70C0000}"/>
    <cellStyle name="40% - Accent4 2 3 2" xfId="3259" xr:uid="{00000000-0005-0000-0000-0000A80C0000}"/>
    <cellStyle name="40% - Accent4 2 3 2 2" xfId="3260" xr:uid="{00000000-0005-0000-0000-0000A90C0000}"/>
    <cellStyle name="40% - Accent4 2 3 3" xfId="3261" xr:uid="{00000000-0005-0000-0000-0000AA0C0000}"/>
    <cellStyle name="40% - Accent4 2 3 3 2" xfId="3262" xr:uid="{00000000-0005-0000-0000-0000AB0C0000}"/>
    <cellStyle name="40% - Accent4 2 3 4" xfId="3263" xr:uid="{00000000-0005-0000-0000-0000AC0C0000}"/>
    <cellStyle name="40% - Accent4 2 3 4 2" xfId="3264" xr:uid="{00000000-0005-0000-0000-0000AD0C0000}"/>
    <cellStyle name="40% - Accent4 2 3 5" xfId="3265" xr:uid="{00000000-0005-0000-0000-0000AE0C0000}"/>
    <cellStyle name="40% - Accent4 2 3 5 2" xfId="3266" xr:uid="{00000000-0005-0000-0000-0000AF0C0000}"/>
    <cellStyle name="40% - Accent4 2 3 6" xfId="3267" xr:uid="{00000000-0005-0000-0000-0000B00C0000}"/>
    <cellStyle name="40% - Accent4 2 4" xfId="3268" xr:uid="{00000000-0005-0000-0000-0000B10C0000}"/>
    <cellStyle name="40% - Accent4 2 4 2" xfId="3269" xr:uid="{00000000-0005-0000-0000-0000B20C0000}"/>
    <cellStyle name="40% - Accent4 2 4 2 2" xfId="3270" xr:uid="{00000000-0005-0000-0000-0000B30C0000}"/>
    <cellStyle name="40% - Accent4 2 4 3" xfId="3271" xr:uid="{00000000-0005-0000-0000-0000B40C0000}"/>
    <cellStyle name="40% - Accent4 2 4 3 2" xfId="3272" xr:uid="{00000000-0005-0000-0000-0000B50C0000}"/>
    <cellStyle name="40% - Accent4 2 4 4" xfId="3273" xr:uid="{00000000-0005-0000-0000-0000B60C0000}"/>
    <cellStyle name="40% - Accent4 2 4 4 2" xfId="3274" xr:uid="{00000000-0005-0000-0000-0000B70C0000}"/>
    <cellStyle name="40% - Accent4 2 4 5" xfId="3275" xr:uid="{00000000-0005-0000-0000-0000B80C0000}"/>
    <cellStyle name="40% - Accent4 2 4 5 2" xfId="3276" xr:uid="{00000000-0005-0000-0000-0000B90C0000}"/>
    <cellStyle name="40% - Accent4 2 4 6" xfId="3277" xr:uid="{00000000-0005-0000-0000-0000BA0C0000}"/>
    <cellStyle name="40% - Accent4 2 5" xfId="3278" xr:uid="{00000000-0005-0000-0000-0000BB0C0000}"/>
    <cellStyle name="40% - Accent4 2 5 2" xfId="3279" xr:uid="{00000000-0005-0000-0000-0000BC0C0000}"/>
    <cellStyle name="40% - Accent4 2 6" xfId="3280" xr:uid="{00000000-0005-0000-0000-0000BD0C0000}"/>
    <cellStyle name="40% - Accent4 2 6 2" xfId="3281" xr:uid="{00000000-0005-0000-0000-0000BE0C0000}"/>
    <cellStyle name="40% - Accent4 2 7" xfId="3282" xr:uid="{00000000-0005-0000-0000-0000BF0C0000}"/>
    <cellStyle name="40% - Accent4 2 7 2" xfId="3283" xr:uid="{00000000-0005-0000-0000-0000C00C0000}"/>
    <cellStyle name="40% - Accent4 2 8" xfId="3284" xr:uid="{00000000-0005-0000-0000-0000C10C0000}"/>
    <cellStyle name="40% - Accent4 2 8 2" xfId="3285" xr:uid="{00000000-0005-0000-0000-0000C20C0000}"/>
    <cellStyle name="40% - Accent4 2 9" xfId="3286" xr:uid="{00000000-0005-0000-0000-0000C30C0000}"/>
    <cellStyle name="40% - Accent4 2 9 2" xfId="3287" xr:uid="{00000000-0005-0000-0000-0000C40C0000}"/>
    <cellStyle name="40% - Accent4 20" xfId="3288" xr:uid="{00000000-0005-0000-0000-0000C50C0000}"/>
    <cellStyle name="40% - Accent4 20 2" xfId="3289" xr:uid="{00000000-0005-0000-0000-0000C60C0000}"/>
    <cellStyle name="40% - Accent4 3" xfId="3290" xr:uid="{00000000-0005-0000-0000-0000C70C0000}"/>
    <cellStyle name="40% - Accent4 3 10" xfId="3291" xr:uid="{00000000-0005-0000-0000-0000C80C0000}"/>
    <cellStyle name="40% - Accent4 3 10 2" xfId="3292" xr:uid="{00000000-0005-0000-0000-0000C90C0000}"/>
    <cellStyle name="40% - Accent4 3 11" xfId="3293" xr:uid="{00000000-0005-0000-0000-0000CA0C0000}"/>
    <cellStyle name="40% - Accent4 3 2" xfId="3294" xr:uid="{00000000-0005-0000-0000-0000CB0C0000}"/>
    <cellStyle name="40% - Accent4 3 2 10" xfId="3295" xr:uid="{00000000-0005-0000-0000-0000CC0C0000}"/>
    <cellStyle name="40% - Accent4 3 2 2" xfId="3296" xr:uid="{00000000-0005-0000-0000-0000CD0C0000}"/>
    <cellStyle name="40% - Accent4 3 2 2 2" xfId="3297" xr:uid="{00000000-0005-0000-0000-0000CE0C0000}"/>
    <cellStyle name="40% - Accent4 3 2 2 2 2" xfId="3298" xr:uid="{00000000-0005-0000-0000-0000CF0C0000}"/>
    <cellStyle name="40% - Accent4 3 2 2 3" xfId="3299" xr:uid="{00000000-0005-0000-0000-0000D00C0000}"/>
    <cellStyle name="40% - Accent4 3 2 2 3 2" xfId="3300" xr:uid="{00000000-0005-0000-0000-0000D10C0000}"/>
    <cellStyle name="40% - Accent4 3 2 2 4" xfId="3301" xr:uid="{00000000-0005-0000-0000-0000D20C0000}"/>
    <cellStyle name="40% - Accent4 3 2 2 4 2" xfId="3302" xr:uid="{00000000-0005-0000-0000-0000D30C0000}"/>
    <cellStyle name="40% - Accent4 3 2 2 5" xfId="3303" xr:uid="{00000000-0005-0000-0000-0000D40C0000}"/>
    <cellStyle name="40% - Accent4 3 2 2 5 2" xfId="3304" xr:uid="{00000000-0005-0000-0000-0000D50C0000}"/>
    <cellStyle name="40% - Accent4 3 2 2 6" xfId="3305" xr:uid="{00000000-0005-0000-0000-0000D60C0000}"/>
    <cellStyle name="40% - Accent4 3 2 3" xfId="3306" xr:uid="{00000000-0005-0000-0000-0000D70C0000}"/>
    <cellStyle name="40% - Accent4 3 2 3 2" xfId="3307" xr:uid="{00000000-0005-0000-0000-0000D80C0000}"/>
    <cellStyle name="40% - Accent4 3 2 3 2 2" xfId="3308" xr:uid="{00000000-0005-0000-0000-0000D90C0000}"/>
    <cellStyle name="40% - Accent4 3 2 3 3" xfId="3309" xr:uid="{00000000-0005-0000-0000-0000DA0C0000}"/>
    <cellStyle name="40% - Accent4 3 2 3 3 2" xfId="3310" xr:uid="{00000000-0005-0000-0000-0000DB0C0000}"/>
    <cellStyle name="40% - Accent4 3 2 3 4" xfId="3311" xr:uid="{00000000-0005-0000-0000-0000DC0C0000}"/>
    <cellStyle name="40% - Accent4 3 2 3 4 2" xfId="3312" xr:uid="{00000000-0005-0000-0000-0000DD0C0000}"/>
    <cellStyle name="40% - Accent4 3 2 3 5" xfId="3313" xr:uid="{00000000-0005-0000-0000-0000DE0C0000}"/>
    <cellStyle name="40% - Accent4 3 2 3 5 2" xfId="3314" xr:uid="{00000000-0005-0000-0000-0000DF0C0000}"/>
    <cellStyle name="40% - Accent4 3 2 3 6" xfId="3315" xr:uid="{00000000-0005-0000-0000-0000E00C0000}"/>
    <cellStyle name="40% - Accent4 3 2 4" xfId="3316" xr:uid="{00000000-0005-0000-0000-0000E10C0000}"/>
    <cellStyle name="40% - Accent4 3 2 4 2" xfId="3317" xr:uid="{00000000-0005-0000-0000-0000E20C0000}"/>
    <cellStyle name="40% - Accent4 3 2 5" xfId="3318" xr:uid="{00000000-0005-0000-0000-0000E30C0000}"/>
    <cellStyle name="40% - Accent4 3 2 5 2" xfId="3319" xr:uid="{00000000-0005-0000-0000-0000E40C0000}"/>
    <cellStyle name="40% - Accent4 3 2 6" xfId="3320" xr:uid="{00000000-0005-0000-0000-0000E50C0000}"/>
    <cellStyle name="40% - Accent4 3 2 6 2" xfId="3321" xr:uid="{00000000-0005-0000-0000-0000E60C0000}"/>
    <cellStyle name="40% - Accent4 3 2 7" xfId="3322" xr:uid="{00000000-0005-0000-0000-0000E70C0000}"/>
    <cellStyle name="40% - Accent4 3 2 7 2" xfId="3323" xr:uid="{00000000-0005-0000-0000-0000E80C0000}"/>
    <cellStyle name="40% - Accent4 3 2 8" xfId="3324" xr:uid="{00000000-0005-0000-0000-0000E90C0000}"/>
    <cellStyle name="40% - Accent4 3 2 8 2" xfId="3325" xr:uid="{00000000-0005-0000-0000-0000EA0C0000}"/>
    <cellStyle name="40% - Accent4 3 2 9" xfId="3326" xr:uid="{00000000-0005-0000-0000-0000EB0C0000}"/>
    <cellStyle name="40% - Accent4 3 2 9 2" xfId="3327" xr:uid="{00000000-0005-0000-0000-0000EC0C0000}"/>
    <cellStyle name="40% - Accent4 3 3" xfId="3328" xr:uid="{00000000-0005-0000-0000-0000ED0C0000}"/>
    <cellStyle name="40% - Accent4 3 3 2" xfId="3329" xr:uid="{00000000-0005-0000-0000-0000EE0C0000}"/>
    <cellStyle name="40% - Accent4 3 3 2 2" xfId="3330" xr:uid="{00000000-0005-0000-0000-0000EF0C0000}"/>
    <cellStyle name="40% - Accent4 3 3 3" xfId="3331" xr:uid="{00000000-0005-0000-0000-0000F00C0000}"/>
    <cellStyle name="40% - Accent4 3 3 3 2" xfId="3332" xr:uid="{00000000-0005-0000-0000-0000F10C0000}"/>
    <cellStyle name="40% - Accent4 3 3 4" xfId="3333" xr:uid="{00000000-0005-0000-0000-0000F20C0000}"/>
    <cellStyle name="40% - Accent4 3 3 4 2" xfId="3334" xr:uid="{00000000-0005-0000-0000-0000F30C0000}"/>
    <cellStyle name="40% - Accent4 3 3 5" xfId="3335" xr:uid="{00000000-0005-0000-0000-0000F40C0000}"/>
    <cellStyle name="40% - Accent4 3 3 5 2" xfId="3336" xr:uid="{00000000-0005-0000-0000-0000F50C0000}"/>
    <cellStyle name="40% - Accent4 3 3 6" xfId="3337" xr:uid="{00000000-0005-0000-0000-0000F60C0000}"/>
    <cellStyle name="40% - Accent4 3 4" xfId="3338" xr:uid="{00000000-0005-0000-0000-0000F70C0000}"/>
    <cellStyle name="40% - Accent4 3 4 2" xfId="3339" xr:uid="{00000000-0005-0000-0000-0000F80C0000}"/>
    <cellStyle name="40% - Accent4 3 4 2 2" xfId="3340" xr:uid="{00000000-0005-0000-0000-0000F90C0000}"/>
    <cellStyle name="40% - Accent4 3 4 3" xfId="3341" xr:uid="{00000000-0005-0000-0000-0000FA0C0000}"/>
    <cellStyle name="40% - Accent4 3 4 3 2" xfId="3342" xr:uid="{00000000-0005-0000-0000-0000FB0C0000}"/>
    <cellStyle name="40% - Accent4 3 4 4" xfId="3343" xr:uid="{00000000-0005-0000-0000-0000FC0C0000}"/>
    <cellStyle name="40% - Accent4 3 4 4 2" xfId="3344" xr:uid="{00000000-0005-0000-0000-0000FD0C0000}"/>
    <cellStyle name="40% - Accent4 3 4 5" xfId="3345" xr:uid="{00000000-0005-0000-0000-0000FE0C0000}"/>
    <cellStyle name="40% - Accent4 3 4 5 2" xfId="3346" xr:uid="{00000000-0005-0000-0000-0000FF0C0000}"/>
    <cellStyle name="40% - Accent4 3 4 6" xfId="3347" xr:uid="{00000000-0005-0000-0000-0000000D0000}"/>
    <cellStyle name="40% - Accent4 3 5" xfId="3348" xr:uid="{00000000-0005-0000-0000-0000010D0000}"/>
    <cellStyle name="40% - Accent4 3 5 2" xfId="3349" xr:uid="{00000000-0005-0000-0000-0000020D0000}"/>
    <cellStyle name="40% - Accent4 3 6" xfId="3350" xr:uid="{00000000-0005-0000-0000-0000030D0000}"/>
    <cellStyle name="40% - Accent4 3 6 2" xfId="3351" xr:uid="{00000000-0005-0000-0000-0000040D0000}"/>
    <cellStyle name="40% - Accent4 3 7" xfId="3352" xr:uid="{00000000-0005-0000-0000-0000050D0000}"/>
    <cellStyle name="40% - Accent4 3 7 2" xfId="3353" xr:uid="{00000000-0005-0000-0000-0000060D0000}"/>
    <cellStyle name="40% - Accent4 3 8" xfId="3354" xr:uid="{00000000-0005-0000-0000-0000070D0000}"/>
    <cellStyle name="40% - Accent4 3 8 2" xfId="3355" xr:uid="{00000000-0005-0000-0000-0000080D0000}"/>
    <cellStyle name="40% - Accent4 3 9" xfId="3356" xr:uid="{00000000-0005-0000-0000-0000090D0000}"/>
    <cellStyle name="40% - Accent4 3 9 2" xfId="3357" xr:uid="{00000000-0005-0000-0000-00000A0D0000}"/>
    <cellStyle name="40% - Accent4 4" xfId="3358" xr:uid="{00000000-0005-0000-0000-00000B0D0000}"/>
    <cellStyle name="40% - Accent4 4 10" xfId="3359" xr:uid="{00000000-0005-0000-0000-00000C0D0000}"/>
    <cellStyle name="40% - Accent4 4 10 2" xfId="3360" xr:uid="{00000000-0005-0000-0000-00000D0D0000}"/>
    <cellStyle name="40% - Accent4 4 11" xfId="3361" xr:uid="{00000000-0005-0000-0000-00000E0D0000}"/>
    <cellStyle name="40% - Accent4 4 2" xfId="3362" xr:uid="{00000000-0005-0000-0000-00000F0D0000}"/>
    <cellStyle name="40% - Accent4 4 2 10" xfId="3363" xr:uid="{00000000-0005-0000-0000-0000100D0000}"/>
    <cellStyle name="40% - Accent4 4 2 2" xfId="3364" xr:uid="{00000000-0005-0000-0000-0000110D0000}"/>
    <cellStyle name="40% - Accent4 4 2 2 2" xfId="3365" xr:uid="{00000000-0005-0000-0000-0000120D0000}"/>
    <cellStyle name="40% - Accent4 4 2 2 2 2" xfId="3366" xr:uid="{00000000-0005-0000-0000-0000130D0000}"/>
    <cellStyle name="40% - Accent4 4 2 2 3" xfId="3367" xr:uid="{00000000-0005-0000-0000-0000140D0000}"/>
    <cellStyle name="40% - Accent4 4 2 2 3 2" xfId="3368" xr:uid="{00000000-0005-0000-0000-0000150D0000}"/>
    <cellStyle name="40% - Accent4 4 2 2 4" xfId="3369" xr:uid="{00000000-0005-0000-0000-0000160D0000}"/>
    <cellStyle name="40% - Accent4 4 2 2 4 2" xfId="3370" xr:uid="{00000000-0005-0000-0000-0000170D0000}"/>
    <cellStyle name="40% - Accent4 4 2 2 5" xfId="3371" xr:uid="{00000000-0005-0000-0000-0000180D0000}"/>
    <cellStyle name="40% - Accent4 4 2 2 5 2" xfId="3372" xr:uid="{00000000-0005-0000-0000-0000190D0000}"/>
    <cellStyle name="40% - Accent4 4 2 2 6" xfId="3373" xr:uid="{00000000-0005-0000-0000-00001A0D0000}"/>
    <cellStyle name="40% - Accent4 4 2 3" xfId="3374" xr:uid="{00000000-0005-0000-0000-00001B0D0000}"/>
    <cellStyle name="40% - Accent4 4 2 3 2" xfId="3375" xr:uid="{00000000-0005-0000-0000-00001C0D0000}"/>
    <cellStyle name="40% - Accent4 4 2 3 2 2" xfId="3376" xr:uid="{00000000-0005-0000-0000-00001D0D0000}"/>
    <cellStyle name="40% - Accent4 4 2 3 3" xfId="3377" xr:uid="{00000000-0005-0000-0000-00001E0D0000}"/>
    <cellStyle name="40% - Accent4 4 2 3 3 2" xfId="3378" xr:uid="{00000000-0005-0000-0000-00001F0D0000}"/>
    <cellStyle name="40% - Accent4 4 2 3 4" xfId="3379" xr:uid="{00000000-0005-0000-0000-0000200D0000}"/>
    <cellStyle name="40% - Accent4 4 2 3 4 2" xfId="3380" xr:uid="{00000000-0005-0000-0000-0000210D0000}"/>
    <cellStyle name="40% - Accent4 4 2 3 5" xfId="3381" xr:uid="{00000000-0005-0000-0000-0000220D0000}"/>
    <cellStyle name="40% - Accent4 4 2 3 5 2" xfId="3382" xr:uid="{00000000-0005-0000-0000-0000230D0000}"/>
    <cellStyle name="40% - Accent4 4 2 3 6" xfId="3383" xr:uid="{00000000-0005-0000-0000-0000240D0000}"/>
    <cellStyle name="40% - Accent4 4 2 4" xfId="3384" xr:uid="{00000000-0005-0000-0000-0000250D0000}"/>
    <cellStyle name="40% - Accent4 4 2 4 2" xfId="3385" xr:uid="{00000000-0005-0000-0000-0000260D0000}"/>
    <cellStyle name="40% - Accent4 4 2 5" xfId="3386" xr:uid="{00000000-0005-0000-0000-0000270D0000}"/>
    <cellStyle name="40% - Accent4 4 2 5 2" xfId="3387" xr:uid="{00000000-0005-0000-0000-0000280D0000}"/>
    <cellStyle name="40% - Accent4 4 2 6" xfId="3388" xr:uid="{00000000-0005-0000-0000-0000290D0000}"/>
    <cellStyle name="40% - Accent4 4 2 6 2" xfId="3389" xr:uid="{00000000-0005-0000-0000-00002A0D0000}"/>
    <cellStyle name="40% - Accent4 4 2 7" xfId="3390" xr:uid="{00000000-0005-0000-0000-00002B0D0000}"/>
    <cellStyle name="40% - Accent4 4 2 7 2" xfId="3391" xr:uid="{00000000-0005-0000-0000-00002C0D0000}"/>
    <cellStyle name="40% - Accent4 4 2 8" xfId="3392" xr:uid="{00000000-0005-0000-0000-00002D0D0000}"/>
    <cellStyle name="40% - Accent4 4 2 8 2" xfId="3393" xr:uid="{00000000-0005-0000-0000-00002E0D0000}"/>
    <cellStyle name="40% - Accent4 4 2 9" xfId="3394" xr:uid="{00000000-0005-0000-0000-00002F0D0000}"/>
    <cellStyle name="40% - Accent4 4 2 9 2" xfId="3395" xr:uid="{00000000-0005-0000-0000-0000300D0000}"/>
    <cellStyle name="40% - Accent4 4 3" xfId="3396" xr:uid="{00000000-0005-0000-0000-0000310D0000}"/>
    <cellStyle name="40% - Accent4 4 3 2" xfId="3397" xr:uid="{00000000-0005-0000-0000-0000320D0000}"/>
    <cellStyle name="40% - Accent4 4 3 2 2" xfId="3398" xr:uid="{00000000-0005-0000-0000-0000330D0000}"/>
    <cellStyle name="40% - Accent4 4 3 3" xfId="3399" xr:uid="{00000000-0005-0000-0000-0000340D0000}"/>
    <cellStyle name="40% - Accent4 4 3 3 2" xfId="3400" xr:uid="{00000000-0005-0000-0000-0000350D0000}"/>
    <cellStyle name="40% - Accent4 4 3 4" xfId="3401" xr:uid="{00000000-0005-0000-0000-0000360D0000}"/>
    <cellStyle name="40% - Accent4 4 3 4 2" xfId="3402" xr:uid="{00000000-0005-0000-0000-0000370D0000}"/>
    <cellStyle name="40% - Accent4 4 3 5" xfId="3403" xr:uid="{00000000-0005-0000-0000-0000380D0000}"/>
    <cellStyle name="40% - Accent4 4 3 5 2" xfId="3404" xr:uid="{00000000-0005-0000-0000-0000390D0000}"/>
    <cellStyle name="40% - Accent4 4 3 6" xfId="3405" xr:uid="{00000000-0005-0000-0000-00003A0D0000}"/>
    <cellStyle name="40% - Accent4 4 4" xfId="3406" xr:uid="{00000000-0005-0000-0000-00003B0D0000}"/>
    <cellStyle name="40% - Accent4 4 4 2" xfId="3407" xr:uid="{00000000-0005-0000-0000-00003C0D0000}"/>
    <cellStyle name="40% - Accent4 4 4 2 2" xfId="3408" xr:uid="{00000000-0005-0000-0000-00003D0D0000}"/>
    <cellStyle name="40% - Accent4 4 4 3" xfId="3409" xr:uid="{00000000-0005-0000-0000-00003E0D0000}"/>
    <cellStyle name="40% - Accent4 4 4 3 2" xfId="3410" xr:uid="{00000000-0005-0000-0000-00003F0D0000}"/>
    <cellStyle name="40% - Accent4 4 4 4" xfId="3411" xr:uid="{00000000-0005-0000-0000-0000400D0000}"/>
    <cellStyle name="40% - Accent4 4 4 4 2" xfId="3412" xr:uid="{00000000-0005-0000-0000-0000410D0000}"/>
    <cellStyle name="40% - Accent4 4 4 5" xfId="3413" xr:uid="{00000000-0005-0000-0000-0000420D0000}"/>
    <cellStyle name="40% - Accent4 4 4 5 2" xfId="3414" xr:uid="{00000000-0005-0000-0000-0000430D0000}"/>
    <cellStyle name="40% - Accent4 4 4 6" xfId="3415" xr:uid="{00000000-0005-0000-0000-0000440D0000}"/>
    <cellStyle name="40% - Accent4 4 5" xfId="3416" xr:uid="{00000000-0005-0000-0000-0000450D0000}"/>
    <cellStyle name="40% - Accent4 4 5 2" xfId="3417" xr:uid="{00000000-0005-0000-0000-0000460D0000}"/>
    <cellStyle name="40% - Accent4 4 6" xfId="3418" xr:uid="{00000000-0005-0000-0000-0000470D0000}"/>
    <cellStyle name="40% - Accent4 4 6 2" xfId="3419" xr:uid="{00000000-0005-0000-0000-0000480D0000}"/>
    <cellStyle name="40% - Accent4 4 7" xfId="3420" xr:uid="{00000000-0005-0000-0000-0000490D0000}"/>
    <cellStyle name="40% - Accent4 4 7 2" xfId="3421" xr:uid="{00000000-0005-0000-0000-00004A0D0000}"/>
    <cellStyle name="40% - Accent4 4 8" xfId="3422" xr:uid="{00000000-0005-0000-0000-00004B0D0000}"/>
    <cellStyle name="40% - Accent4 4 8 2" xfId="3423" xr:uid="{00000000-0005-0000-0000-00004C0D0000}"/>
    <cellStyle name="40% - Accent4 4 9" xfId="3424" xr:uid="{00000000-0005-0000-0000-00004D0D0000}"/>
    <cellStyle name="40% - Accent4 4 9 2" xfId="3425" xr:uid="{00000000-0005-0000-0000-00004E0D0000}"/>
    <cellStyle name="40% - Accent4 5" xfId="3426" xr:uid="{00000000-0005-0000-0000-00004F0D0000}"/>
    <cellStyle name="40% - Accent4 5 10" xfId="3427" xr:uid="{00000000-0005-0000-0000-0000500D0000}"/>
    <cellStyle name="40% - Accent4 5 2" xfId="3428" xr:uid="{00000000-0005-0000-0000-0000510D0000}"/>
    <cellStyle name="40% - Accent4 5 2 2" xfId="3429" xr:uid="{00000000-0005-0000-0000-0000520D0000}"/>
    <cellStyle name="40% - Accent4 5 2 2 2" xfId="3430" xr:uid="{00000000-0005-0000-0000-0000530D0000}"/>
    <cellStyle name="40% - Accent4 5 2 3" xfId="3431" xr:uid="{00000000-0005-0000-0000-0000540D0000}"/>
    <cellStyle name="40% - Accent4 5 2 3 2" xfId="3432" xr:uid="{00000000-0005-0000-0000-0000550D0000}"/>
    <cellStyle name="40% - Accent4 5 2 4" xfId="3433" xr:uid="{00000000-0005-0000-0000-0000560D0000}"/>
    <cellStyle name="40% - Accent4 5 2 4 2" xfId="3434" xr:uid="{00000000-0005-0000-0000-0000570D0000}"/>
    <cellStyle name="40% - Accent4 5 2 5" xfId="3435" xr:uid="{00000000-0005-0000-0000-0000580D0000}"/>
    <cellStyle name="40% - Accent4 5 2 5 2" xfId="3436" xr:uid="{00000000-0005-0000-0000-0000590D0000}"/>
    <cellStyle name="40% - Accent4 5 2 6" xfId="3437" xr:uid="{00000000-0005-0000-0000-00005A0D0000}"/>
    <cellStyle name="40% - Accent4 5 3" xfId="3438" xr:uid="{00000000-0005-0000-0000-00005B0D0000}"/>
    <cellStyle name="40% - Accent4 5 3 2" xfId="3439" xr:uid="{00000000-0005-0000-0000-00005C0D0000}"/>
    <cellStyle name="40% - Accent4 5 3 2 2" xfId="3440" xr:uid="{00000000-0005-0000-0000-00005D0D0000}"/>
    <cellStyle name="40% - Accent4 5 3 3" xfId="3441" xr:uid="{00000000-0005-0000-0000-00005E0D0000}"/>
    <cellStyle name="40% - Accent4 5 3 3 2" xfId="3442" xr:uid="{00000000-0005-0000-0000-00005F0D0000}"/>
    <cellStyle name="40% - Accent4 5 3 4" xfId="3443" xr:uid="{00000000-0005-0000-0000-0000600D0000}"/>
    <cellStyle name="40% - Accent4 5 3 4 2" xfId="3444" xr:uid="{00000000-0005-0000-0000-0000610D0000}"/>
    <cellStyle name="40% - Accent4 5 3 5" xfId="3445" xr:uid="{00000000-0005-0000-0000-0000620D0000}"/>
    <cellStyle name="40% - Accent4 5 3 5 2" xfId="3446" xr:uid="{00000000-0005-0000-0000-0000630D0000}"/>
    <cellStyle name="40% - Accent4 5 3 6" xfId="3447" xr:uid="{00000000-0005-0000-0000-0000640D0000}"/>
    <cellStyle name="40% - Accent4 5 4" xfId="3448" xr:uid="{00000000-0005-0000-0000-0000650D0000}"/>
    <cellStyle name="40% - Accent4 5 4 2" xfId="3449" xr:uid="{00000000-0005-0000-0000-0000660D0000}"/>
    <cellStyle name="40% - Accent4 5 5" xfId="3450" xr:uid="{00000000-0005-0000-0000-0000670D0000}"/>
    <cellStyle name="40% - Accent4 5 5 2" xfId="3451" xr:uid="{00000000-0005-0000-0000-0000680D0000}"/>
    <cellStyle name="40% - Accent4 5 6" xfId="3452" xr:uid="{00000000-0005-0000-0000-0000690D0000}"/>
    <cellStyle name="40% - Accent4 5 6 2" xfId="3453" xr:uid="{00000000-0005-0000-0000-00006A0D0000}"/>
    <cellStyle name="40% - Accent4 5 7" xfId="3454" xr:uid="{00000000-0005-0000-0000-00006B0D0000}"/>
    <cellStyle name="40% - Accent4 5 7 2" xfId="3455" xr:uid="{00000000-0005-0000-0000-00006C0D0000}"/>
    <cellStyle name="40% - Accent4 5 8" xfId="3456" xr:uid="{00000000-0005-0000-0000-00006D0D0000}"/>
    <cellStyle name="40% - Accent4 5 8 2" xfId="3457" xr:uid="{00000000-0005-0000-0000-00006E0D0000}"/>
    <cellStyle name="40% - Accent4 5 9" xfId="3458" xr:uid="{00000000-0005-0000-0000-00006F0D0000}"/>
    <cellStyle name="40% - Accent4 5 9 2" xfId="3459" xr:uid="{00000000-0005-0000-0000-0000700D0000}"/>
    <cellStyle name="40% - Accent4 6" xfId="3460" xr:uid="{00000000-0005-0000-0000-0000710D0000}"/>
    <cellStyle name="40% - Accent4 6 10" xfId="3461" xr:uid="{00000000-0005-0000-0000-0000720D0000}"/>
    <cellStyle name="40% - Accent4 6 2" xfId="3462" xr:uid="{00000000-0005-0000-0000-0000730D0000}"/>
    <cellStyle name="40% - Accent4 6 2 2" xfId="3463" xr:uid="{00000000-0005-0000-0000-0000740D0000}"/>
    <cellStyle name="40% - Accent4 6 2 2 2" xfId="3464" xr:uid="{00000000-0005-0000-0000-0000750D0000}"/>
    <cellStyle name="40% - Accent4 6 2 3" xfId="3465" xr:uid="{00000000-0005-0000-0000-0000760D0000}"/>
    <cellStyle name="40% - Accent4 6 2 3 2" xfId="3466" xr:uid="{00000000-0005-0000-0000-0000770D0000}"/>
    <cellStyle name="40% - Accent4 6 2 4" xfId="3467" xr:uid="{00000000-0005-0000-0000-0000780D0000}"/>
    <cellStyle name="40% - Accent4 6 2 4 2" xfId="3468" xr:uid="{00000000-0005-0000-0000-0000790D0000}"/>
    <cellStyle name="40% - Accent4 6 2 5" xfId="3469" xr:uid="{00000000-0005-0000-0000-00007A0D0000}"/>
    <cellStyle name="40% - Accent4 6 2 5 2" xfId="3470" xr:uid="{00000000-0005-0000-0000-00007B0D0000}"/>
    <cellStyle name="40% - Accent4 6 2 6" xfId="3471" xr:uid="{00000000-0005-0000-0000-00007C0D0000}"/>
    <cellStyle name="40% - Accent4 6 3" xfId="3472" xr:uid="{00000000-0005-0000-0000-00007D0D0000}"/>
    <cellStyle name="40% - Accent4 6 3 2" xfId="3473" xr:uid="{00000000-0005-0000-0000-00007E0D0000}"/>
    <cellStyle name="40% - Accent4 6 3 2 2" xfId="3474" xr:uid="{00000000-0005-0000-0000-00007F0D0000}"/>
    <cellStyle name="40% - Accent4 6 3 3" xfId="3475" xr:uid="{00000000-0005-0000-0000-0000800D0000}"/>
    <cellStyle name="40% - Accent4 6 3 3 2" xfId="3476" xr:uid="{00000000-0005-0000-0000-0000810D0000}"/>
    <cellStyle name="40% - Accent4 6 3 4" xfId="3477" xr:uid="{00000000-0005-0000-0000-0000820D0000}"/>
    <cellStyle name="40% - Accent4 6 3 4 2" xfId="3478" xr:uid="{00000000-0005-0000-0000-0000830D0000}"/>
    <cellStyle name="40% - Accent4 6 3 5" xfId="3479" xr:uid="{00000000-0005-0000-0000-0000840D0000}"/>
    <cellStyle name="40% - Accent4 6 3 5 2" xfId="3480" xr:uid="{00000000-0005-0000-0000-0000850D0000}"/>
    <cellStyle name="40% - Accent4 6 3 6" xfId="3481" xr:uid="{00000000-0005-0000-0000-0000860D0000}"/>
    <cellStyle name="40% - Accent4 6 4" xfId="3482" xr:uid="{00000000-0005-0000-0000-0000870D0000}"/>
    <cellStyle name="40% - Accent4 6 4 2" xfId="3483" xr:uid="{00000000-0005-0000-0000-0000880D0000}"/>
    <cellStyle name="40% - Accent4 6 5" xfId="3484" xr:uid="{00000000-0005-0000-0000-0000890D0000}"/>
    <cellStyle name="40% - Accent4 6 5 2" xfId="3485" xr:uid="{00000000-0005-0000-0000-00008A0D0000}"/>
    <cellStyle name="40% - Accent4 6 6" xfId="3486" xr:uid="{00000000-0005-0000-0000-00008B0D0000}"/>
    <cellStyle name="40% - Accent4 6 6 2" xfId="3487" xr:uid="{00000000-0005-0000-0000-00008C0D0000}"/>
    <cellStyle name="40% - Accent4 6 7" xfId="3488" xr:uid="{00000000-0005-0000-0000-00008D0D0000}"/>
    <cellStyle name="40% - Accent4 6 7 2" xfId="3489" xr:uid="{00000000-0005-0000-0000-00008E0D0000}"/>
    <cellStyle name="40% - Accent4 6 8" xfId="3490" xr:uid="{00000000-0005-0000-0000-00008F0D0000}"/>
    <cellStyle name="40% - Accent4 6 8 2" xfId="3491" xr:uid="{00000000-0005-0000-0000-0000900D0000}"/>
    <cellStyle name="40% - Accent4 6 9" xfId="3492" xr:uid="{00000000-0005-0000-0000-0000910D0000}"/>
    <cellStyle name="40% - Accent4 6 9 2" xfId="3493" xr:uid="{00000000-0005-0000-0000-0000920D0000}"/>
    <cellStyle name="40% - Accent4 7" xfId="3494" xr:uid="{00000000-0005-0000-0000-0000930D0000}"/>
    <cellStyle name="40% - Accent4 7 10" xfId="3495" xr:uid="{00000000-0005-0000-0000-0000940D0000}"/>
    <cellStyle name="40% - Accent4 7 2" xfId="3496" xr:uid="{00000000-0005-0000-0000-0000950D0000}"/>
    <cellStyle name="40% - Accent4 7 2 2" xfId="3497" xr:uid="{00000000-0005-0000-0000-0000960D0000}"/>
    <cellStyle name="40% - Accent4 7 2 2 2" xfId="3498" xr:uid="{00000000-0005-0000-0000-0000970D0000}"/>
    <cellStyle name="40% - Accent4 7 2 3" xfId="3499" xr:uid="{00000000-0005-0000-0000-0000980D0000}"/>
    <cellStyle name="40% - Accent4 7 2 3 2" xfId="3500" xr:uid="{00000000-0005-0000-0000-0000990D0000}"/>
    <cellStyle name="40% - Accent4 7 2 4" xfId="3501" xr:uid="{00000000-0005-0000-0000-00009A0D0000}"/>
    <cellStyle name="40% - Accent4 7 2 4 2" xfId="3502" xr:uid="{00000000-0005-0000-0000-00009B0D0000}"/>
    <cellStyle name="40% - Accent4 7 2 5" xfId="3503" xr:uid="{00000000-0005-0000-0000-00009C0D0000}"/>
    <cellStyle name="40% - Accent4 7 2 5 2" xfId="3504" xr:uid="{00000000-0005-0000-0000-00009D0D0000}"/>
    <cellStyle name="40% - Accent4 7 2 6" xfId="3505" xr:uid="{00000000-0005-0000-0000-00009E0D0000}"/>
    <cellStyle name="40% - Accent4 7 3" xfId="3506" xr:uid="{00000000-0005-0000-0000-00009F0D0000}"/>
    <cellStyle name="40% - Accent4 7 3 2" xfId="3507" xr:uid="{00000000-0005-0000-0000-0000A00D0000}"/>
    <cellStyle name="40% - Accent4 7 3 2 2" xfId="3508" xr:uid="{00000000-0005-0000-0000-0000A10D0000}"/>
    <cellStyle name="40% - Accent4 7 3 3" xfId="3509" xr:uid="{00000000-0005-0000-0000-0000A20D0000}"/>
    <cellStyle name="40% - Accent4 7 3 3 2" xfId="3510" xr:uid="{00000000-0005-0000-0000-0000A30D0000}"/>
    <cellStyle name="40% - Accent4 7 3 4" xfId="3511" xr:uid="{00000000-0005-0000-0000-0000A40D0000}"/>
    <cellStyle name="40% - Accent4 7 3 4 2" xfId="3512" xr:uid="{00000000-0005-0000-0000-0000A50D0000}"/>
    <cellStyle name="40% - Accent4 7 3 5" xfId="3513" xr:uid="{00000000-0005-0000-0000-0000A60D0000}"/>
    <cellStyle name="40% - Accent4 7 3 5 2" xfId="3514" xr:uid="{00000000-0005-0000-0000-0000A70D0000}"/>
    <cellStyle name="40% - Accent4 7 3 6" xfId="3515" xr:uid="{00000000-0005-0000-0000-0000A80D0000}"/>
    <cellStyle name="40% - Accent4 7 4" xfId="3516" xr:uid="{00000000-0005-0000-0000-0000A90D0000}"/>
    <cellStyle name="40% - Accent4 7 4 2" xfId="3517" xr:uid="{00000000-0005-0000-0000-0000AA0D0000}"/>
    <cellStyle name="40% - Accent4 7 5" xfId="3518" xr:uid="{00000000-0005-0000-0000-0000AB0D0000}"/>
    <cellStyle name="40% - Accent4 7 5 2" xfId="3519" xr:uid="{00000000-0005-0000-0000-0000AC0D0000}"/>
    <cellStyle name="40% - Accent4 7 6" xfId="3520" xr:uid="{00000000-0005-0000-0000-0000AD0D0000}"/>
    <cellStyle name="40% - Accent4 7 6 2" xfId="3521" xr:uid="{00000000-0005-0000-0000-0000AE0D0000}"/>
    <cellStyle name="40% - Accent4 7 7" xfId="3522" xr:uid="{00000000-0005-0000-0000-0000AF0D0000}"/>
    <cellStyle name="40% - Accent4 7 7 2" xfId="3523" xr:uid="{00000000-0005-0000-0000-0000B00D0000}"/>
    <cellStyle name="40% - Accent4 7 8" xfId="3524" xr:uid="{00000000-0005-0000-0000-0000B10D0000}"/>
    <cellStyle name="40% - Accent4 7 8 2" xfId="3525" xr:uid="{00000000-0005-0000-0000-0000B20D0000}"/>
    <cellStyle name="40% - Accent4 7 9" xfId="3526" xr:uid="{00000000-0005-0000-0000-0000B30D0000}"/>
    <cellStyle name="40% - Accent4 7 9 2" xfId="3527" xr:uid="{00000000-0005-0000-0000-0000B40D0000}"/>
    <cellStyle name="40% - Accent4 8" xfId="3528" xr:uid="{00000000-0005-0000-0000-0000B50D0000}"/>
    <cellStyle name="40% - Accent4 8 2" xfId="3529" xr:uid="{00000000-0005-0000-0000-0000B60D0000}"/>
    <cellStyle name="40% - Accent4 8 2 2" xfId="3530" xr:uid="{00000000-0005-0000-0000-0000B70D0000}"/>
    <cellStyle name="40% - Accent4 8 3" xfId="3531" xr:uid="{00000000-0005-0000-0000-0000B80D0000}"/>
    <cellStyle name="40% - Accent4 8 3 2" xfId="3532" xr:uid="{00000000-0005-0000-0000-0000B90D0000}"/>
    <cellStyle name="40% - Accent4 8 4" xfId="3533" xr:uid="{00000000-0005-0000-0000-0000BA0D0000}"/>
    <cellStyle name="40% - Accent4 8 4 2" xfId="3534" xr:uid="{00000000-0005-0000-0000-0000BB0D0000}"/>
    <cellStyle name="40% - Accent4 8 5" xfId="3535" xr:uid="{00000000-0005-0000-0000-0000BC0D0000}"/>
    <cellStyle name="40% - Accent4 8 5 2" xfId="3536" xr:uid="{00000000-0005-0000-0000-0000BD0D0000}"/>
    <cellStyle name="40% - Accent4 8 6" xfId="3537" xr:uid="{00000000-0005-0000-0000-0000BE0D0000}"/>
    <cellStyle name="40% - Accent4 9" xfId="3538" xr:uid="{00000000-0005-0000-0000-0000BF0D0000}"/>
    <cellStyle name="40% - Accent4 9 2" xfId="3539" xr:uid="{00000000-0005-0000-0000-0000C00D0000}"/>
    <cellStyle name="40% - Accent4 9 2 2" xfId="3540" xr:uid="{00000000-0005-0000-0000-0000C10D0000}"/>
    <cellStyle name="40% - Accent4 9 3" xfId="3541" xr:uid="{00000000-0005-0000-0000-0000C20D0000}"/>
    <cellStyle name="40% - Accent4 9 3 2" xfId="3542" xr:uid="{00000000-0005-0000-0000-0000C30D0000}"/>
    <cellStyle name="40% - Accent4 9 4" xfId="3543" xr:uid="{00000000-0005-0000-0000-0000C40D0000}"/>
    <cellStyle name="40% - Accent4 9 4 2" xfId="3544" xr:uid="{00000000-0005-0000-0000-0000C50D0000}"/>
    <cellStyle name="40% - Accent4 9 5" xfId="3545" xr:uid="{00000000-0005-0000-0000-0000C60D0000}"/>
    <cellStyle name="40% - Accent4 9 5 2" xfId="3546" xr:uid="{00000000-0005-0000-0000-0000C70D0000}"/>
    <cellStyle name="40% - Accent4 9 6" xfId="3547" xr:uid="{00000000-0005-0000-0000-0000C80D0000}"/>
    <cellStyle name="40% - Accent5 10" xfId="3548" xr:uid="{00000000-0005-0000-0000-0000C90D0000}"/>
    <cellStyle name="40% - Accent5 10 2" xfId="3549" xr:uid="{00000000-0005-0000-0000-0000CA0D0000}"/>
    <cellStyle name="40% - Accent5 10 2 2" xfId="3550" xr:uid="{00000000-0005-0000-0000-0000CB0D0000}"/>
    <cellStyle name="40% - Accent5 10 3" xfId="3551" xr:uid="{00000000-0005-0000-0000-0000CC0D0000}"/>
    <cellStyle name="40% - Accent5 10 3 2" xfId="3552" xr:uid="{00000000-0005-0000-0000-0000CD0D0000}"/>
    <cellStyle name="40% - Accent5 10 4" xfId="3553" xr:uid="{00000000-0005-0000-0000-0000CE0D0000}"/>
    <cellStyle name="40% - Accent5 11" xfId="3554" xr:uid="{00000000-0005-0000-0000-0000CF0D0000}"/>
    <cellStyle name="40% - Accent5 11 2" xfId="3555" xr:uid="{00000000-0005-0000-0000-0000D00D0000}"/>
    <cellStyle name="40% - Accent5 12" xfId="3556" xr:uid="{00000000-0005-0000-0000-0000D10D0000}"/>
    <cellStyle name="40% - Accent5 12 2" xfId="3557" xr:uid="{00000000-0005-0000-0000-0000D20D0000}"/>
    <cellStyle name="40% - Accent5 13" xfId="3558" xr:uid="{00000000-0005-0000-0000-0000D30D0000}"/>
    <cellStyle name="40% - Accent5 13 2" xfId="3559" xr:uid="{00000000-0005-0000-0000-0000D40D0000}"/>
    <cellStyle name="40% - Accent5 14" xfId="3560" xr:uid="{00000000-0005-0000-0000-0000D50D0000}"/>
    <cellStyle name="40% - Accent5 14 2" xfId="3561" xr:uid="{00000000-0005-0000-0000-0000D60D0000}"/>
    <cellStyle name="40% - Accent5 15" xfId="3562" xr:uid="{00000000-0005-0000-0000-0000D70D0000}"/>
    <cellStyle name="40% - Accent5 15 2" xfId="3563" xr:uid="{00000000-0005-0000-0000-0000D80D0000}"/>
    <cellStyle name="40% - Accent5 16" xfId="3564" xr:uid="{00000000-0005-0000-0000-0000D90D0000}"/>
    <cellStyle name="40% - Accent5 16 2" xfId="3565" xr:uid="{00000000-0005-0000-0000-0000DA0D0000}"/>
    <cellStyle name="40% - Accent5 17" xfId="3566" xr:uid="{00000000-0005-0000-0000-0000DB0D0000}"/>
    <cellStyle name="40% - Accent5 17 2" xfId="3567" xr:uid="{00000000-0005-0000-0000-0000DC0D0000}"/>
    <cellStyle name="40% - Accent5 18" xfId="3568" xr:uid="{00000000-0005-0000-0000-0000DD0D0000}"/>
    <cellStyle name="40% - Accent5 18 2" xfId="3569" xr:uid="{00000000-0005-0000-0000-0000DE0D0000}"/>
    <cellStyle name="40% - Accent5 19" xfId="3570" xr:uid="{00000000-0005-0000-0000-0000DF0D0000}"/>
    <cellStyle name="40% - Accent5 19 2" xfId="3571" xr:uid="{00000000-0005-0000-0000-0000E00D0000}"/>
    <cellStyle name="40% - Accent5 2" xfId="3572" xr:uid="{00000000-0005-0000-0000-0000E10D0000}"/>
    <cellStyle name="40% - Accent5 2 10" xfId="3573" xr:uid="{00000000-0005-0000-0000-0000E20D0000}"/>
    <cellStyle name="40% - Accent5 2 10 2" xfId="3574" xr:uid="{00000000-0005-0000-0000-0000E30D0000}"/>
    <cellStyle name="40% - Accent5 2 11" xfId="3575" xr:uid="{00000000-0005-0000-0000-0000E40D0000}"/>
    <cellStyle name="40% - Accent5 2 2" xfId="3576" xr:uid="{00000000-0005-0000-0000-0000E50D0000}"/>
    <cellStyle name="40% - Accent5 2 2 10" xfId="3577" xr:uid="{00000000-0005-0000-0000-0000E60D0000}"/>
    <cellStyle name="40% - Accent5 2 2 2" xfId="3578" xr:uid="{00000000-0005-0000-0000-0000E70D0000}"/>
    <cellStyle name="40% - Accent5 2 2 2 2" xfId="3579" xr:uid="{00000000-0005-0000-0000-0000E80D0000}"/>
    <cellStyle name="40% - Accent5 2 2 2 2 2" xfId="3580" xr:uid="{00000000-0005-0000-0000-0000E90D0000}"/>
    <cellStyle name="40% - Accent5 2 2 2 3" xfId="3581" xr:uid="{00000000-0005-0000-0000-0000EA0D0000}"/>
    <cellStyle name="40% - Accent5 2 2 2 3 2" xfId="3582" xr:uid="{00000000-0005-0000-0000-0000EB0D0000}"/>
    <cellStyle name="40% - Accent5 2 2 2 4" xfId="3583" xr:uid="{00000000-0005-0000-0000-0000EC0D0000}"/>
    <cellStyle name="40% - Accent5 2 2 2 4 2" xfId="3584" xr:uid="{00000000-0005-0000-0000-0000ED0D0000}"/>
    <cellStyle name="40% - Accent5 2 2 2 5" xfId="3585" xr:uid="{00000000-0005-0000-0000-0000EE0D0000}"/>
    <cellStyle name="40% - Accent5 2 2 2 5 2" xfId="3586" xr:uid="{00000000-0005-0000-0000-0000EF0D0000}"/>
    <cellStyle name="40% - Accent5 2 2 2 6" xfId="3587" xr:uid="{00000000-0005-0000-0000-0000F00D0000}"/>
    <cellStyle name="40% - Accent5 2 2 3" xfId="3588" xr:uid="{00000000-0005-0000-0000-0000F10D0000}"/>
    <cellStyle name="40% - Accent5 2 2 3 2" xfId="3589" xr:uid="{00000000-0005-0000-0000-0000F20D0000}"/>
    <cellStyle name="40% - Accent5 2 2 3 2 2" xfId="3590" xr:uid="{00000000-0005-0000-0000-0000F30D0000}"/>
    <cellStyle name="40% - Accent5 2 2 3 3" xfId="3591" xr:uid="{00000000-0005-0000-0000-0000F40D0000}"/>
    <cellStyle name="40% - Accent5 2 2 3 3 2" xfId="3592" xr:uid="{00000000-0005-0000-0000-0000F50D0000}"/>
    <cellStyle name="40% - Accent5 2 2 3 4" xfId="3593" xr:uid="{00000000-0005-0000-0000-0000F60D0000}"/>
    <cellStyle name="40% - Accent5 2 2 3 4 2" xfId="3594" xr:uid="{00000000-0005-0000-0000-0000F70D0000}"/>
    <cellStyle name="40% - Accent5 2 2 3 5" xfId="3595" xr:uid="{00000000-0005-0000-0000-0000F80D0000}"/>
    <cellStyle name="40% - Accent5 2 2 3 5 2" xfId="3596" xr:uid="{00000000-0005-0000-0000-0000F90D0000}"/>
    <cellStyle name="40% - Accent5 2 2 3 6" xfId="3597" xr:uid="{00000000-0005-0000-0000-0000FA0D0000}"/>
    <cellStyle name="40% - Accent5 2 2 4" xfId="3598" xr:uid="{00000000-0005-0000-0000-0000FB0D0000}"/>
    <cellStyle name="40% - Accent5 2 2 4 2" xfId="3599" xr:uid="{00000000-0005-0000-0000-0000FC0D0000}"/>
    <cellStyle name="40% - Accent5 2 2 5" xfId="3600" xr:uid="{00000000-0005-0000-0000-0000FD0D0000}"/>
    <cellStyle name="40% - Accent5 2 2 5 2" xfId="3601" xr:uid="{00000000-0005-0000-0000-0000FE0D0000}"/>
    <cellStyle name="40% - Accent5 2 2 6" xfId="3602" xr:uid="{00000000-0005-0000-0000-0000FF0D0000}"/>
    <cellStyle name="40% - Accent5 2 2 6 2" xfId="3603" xr:uid="{00000000-0005-0000-0000-0000000E0000}"/>
    <cellStyle name="40% - Accent5 2 2 7" xfId="3604" xr:uid="{00000000-0005-0000-0000-0000010E0000}"/>
    <cellStyle name="40% - Accent5 2 2 7 2" xfId="3605" xr:uid="{00000000-0005-0000-0000-0000020E0000}"/>
    <cellStyle name="40% - Accent5 2 2 8" xfId="3606" xr:uid="{00000000-0005-0000-0000-0000030E0000}"/>
    <cellStyle name="40% - Accent5 2 2 8 2" xfId="3607" xr:uid="{00000000-0005-0000-0000-0000040E0000}"/>
    <cellStyle name="40% - Accent5 2 2 9" xfId="3608" xr:uid="{00000000-0005-0000-0000-0000050E0000}"/>
    <cellStyle name="40% - Accent5 2 2 9 2" xfId="3609" xr:uid="{00000000-0005-0000-0000-0000060E0000}"/>
    <cellStyle name="40% - Accent5 2 3" xfId="3610" xr:uid="{00000000-0005-0000-0000-0000070E0000}"/>
    <cellStyle name="40% - Accent5 2 3 2" xfId="3611" xr:uid="{00000000-0005-0000-0000-0000080E0000}"/>
    <cellStyle name="40% - Accent5 2 3 2 2" xfId="3612" xr:uid="{00000000-0005-0000-0000-0000090E0000}"/>
    <cellStyle name="40% - Accent5 2 3 3" xfId="3613" xr:uid="{00000000-0005-0000-0000-00000A0E0000}"/>
    <cellStyle name="40% - Accent5 2 3 3 2" xfId="3614" xr:uid="{00000000-0005-0000-0000-00000B0E0000}"/>
    <cellStyle name="40% - Accent5 2 3 4" xfId="3615" xr:uid="{00000000-0005-0000-0000-00000C0E0000}"/>
    <cellStyle name="40% - Accent5 2 3 4 2" xfId="3616" xr:uid="{00000000-0005-0000-0000-00000D0E0000}"/>
    <cellStyle name="40% - Accent5 2 3 5" xfId="3617" xr:uid="{00000000-0005-0000-0000-00000E0E0000}"/>
    <cellStyle name="40% - Accent5 2 3 5 2" xfId="3618" xr:uid="{00000000-0005-0000-0000-00000F0E0000}"/>
    <cellStyle name="40% - Accent5 2 3 6" xfId="3619" xr:uid="{00000000-0005-0000-0000-0000100E0000}"/>
    <cellStyle name="40% - Accent5 2 4" xfId="3620" xr:uid="{00000000-0005-0000-0000-0000110E0000}"/>
    <cellStyle name="40% - Accent5 2 4 2" xfId="3621" xr:uid="{00000000-0005-0000-0000-0000120E0000}"/>
    <cellStyle name="40% - Accent5 2 4 2 2" xfId="3622" xr:uid="{00000000-0005-0000-0000-0000130E0000}"/>
    <cellStyle name="40% - Accent5 2 4 3" xfId="3623" xr:uid="{00000000-0005-0000-0000-0000140E0000}"/>
    <cellStyle name="40% - Accent5 2 4 3 2" xfId="3624" xr:uid="{00000000-0005-0000-0000-0000150E0000}"/>
    <cellStyle name="40% - Accent5 2 4 4" xfId="3625" xr:uid="{00000000-0005-0000-0000-0000160E0000}"/>
    <cellStyle name="40% - Accent5 2 4 4 2" xfId="3626" xr:uid="{00000000-0005-0000-0000-0000170E0000}"/>
    <cellStyle name="40% - Accent5 2 4 5" xfId="3627" xr:uid="{00000000-0005-0000-0000-0000180E0000}"/>
    <cellStyle name="40% - Accent5 2 4 5 2" xfId="3628" xr:uid="{00000000-0005-0000-0000-0000190E0000}"/>
    <cellStyle name="40% - Accent5 2 4 6" xfId="3629" xr:uid="{00000000-0005-0000-0000-00001A0E0000}"/>
    <cellStyle name="40% - Accent5 2 5" xfId="3630" xr:uid="{00000000-0005-0000-0000-00001B0E0000}"/>
    <cellStyle name="40% - Accent5 2 5 2" xfId="3631" xr:uid="{00000000-0005-0000-0000-00001C0E0000}"/>
    <cellStyle name="40% - Accent5 2 6" xfId="3632" xr:uid="{00000000-0005-0000-0000-00001D0E0000}"/>
    <cellStyle name="40% - Accent5 2 6 2" xfId="3633" xr:uid="{00000000-0005-0000-0000-00001E0E0000}"/>
    <cellStyle name="40% - Accent5 2 7" xfId="3634" xr:uid="{00000000-0005-0000-0000-00001F0E0000}"/>
    <cellStyle name="40% - Accent5 2 7 2" xfId="3635" xr:uid="{00000000-0005-0000-0000-0000200E0000}"/>
    <cellStyle name="40% - Accent5 2 8" xfId="3636" xr:uid="{00000000-0005-0000-0000-0000210E0000}"/>
    <cellStyle name="40% - Accent5 2 8 2" xfId="3637" xr:uid="{00000000-0005-0000-0000-0000220E0000}"/>
    <cellStyle name="40% - Accent5 2 9" xfId="3638" xr:uid="{00000000-0005-0000-0000-0000230E0000}"/>
    <cellStyle name="40% - Accent5 2 9 2" xfId="3639" xr:uid="{00000000-0005-0000-0000-0000240E0000}"/>
    <cellStyle name="40% - Accent5 20" xfId="3640" xr:uid="{00000000-0005-0000-0000-0000250E0000}"/>
    <cellStyle name="40% - Accent5 20 2" xfId="3641" xr:uid="{00000000-0005-0000-0000-0000260E0000}"/>
    <cellStyle name="40% - Accent5 3" xfId="3642" xr:uid="{00000000-0005-0000-0000-0000270E0000}"/>
    <cellStyle name="40% - Accent5 3 10" xfId="3643" xr:uid="{00000000-0005-0000-0000-0000280E0000}"/>
    <cellStyle name="40% - Accent5 3 10 2" xfId="3644" xr:uid="{00000000-0005-0000-0000-0000290E0000}"/>
    <cellStyle name="40% - Accent5 3 11" xfId="3645" xr:uid="{00000000-0005-0000-0000-00002A0E0000}"/>
    <cellStyle name="40% - Accent5 3 2" xfId="3646" xr:uid="{00000000-0005-0000-0000-00002B0E0000}"/>
    <cellStyle name="40% - Accent5 3 2 10" xfId="3647" xr:uid="{00000000-0005-0000-0000-00002C0E0000}"/>
    <cellStyle name="40% - Accent5 3 2 2" xfId="3648" xr:uid="{00000000-0005-0000-0000-00002D0E0000}"/>
    <cellStyle name="40% - Accent5 3 2 2 2" xfId="3649" xr:uid="{00000000-0005-0000-0000-00002E0E0000}"/>
    <cellStyle name="40% - Accent5 3 2 2 2 2" xfId="3650" xr:uid="{00000000-0005-0000-0000-00002F0E0000}"/>
    <cellStyle name="40% - Accent5 3 2 2 3" xfId="3651" xr:uid="{00000000-0005-0000-0000-0000300E0000}"/>
    <cellStyle name="40% - Accent5 3 2 2 3 2" xfId="3652" xr:uid="{00000000-0005-0000-0000-0000310E0000}"/>
    <cellStyle name="40% - Accent5 3 2 2 4" xfId="3653" xr:uid="{00000000-0005-0000-0000-0000320E0000}"/>
    <cellStyle name="40% - Accent5 3 2 2 4 2" xfId="3654" xr:uid="{00000000-0005-0000-0000-0000330E0000}"/>
    <cellStyle name="40% - Accent5 3 2 2 5" xfId="3655" xr:uid="{00000000-0005-0000-0000-0000340E0000}"/>
    <cellStyle name="40% - Accent5 3 2 2 5 2" xfId="3656" xr:uid="{00000000-0005-0000-0000-0000350E0000}"/>
    <cellStyle name="40% - Accent5 3 2 2 6" xfId="3657" xr:uid="{00000000-0005-0000-0000-0000360E0000}"/>
    <cellStyle name="40% - Accent5 3 2 3" xfId="3658" xr:uid="{00000000-0005-0000-0000-0000370E0000}"/>
    <cellStyle name="40% - Accent5 3 2 3 2" xfId="3659" xr:uid="{00000000-0005-0000-0000-0000380E0000}"/>
    <cellStyle name="40% - Accent5 3 2 3 2 2" xfId="3660" xr:uid="{00000000-0005-0000-0000-0000390E0000}"/>
    <cellStyle name="40% - Accent5 3 2 3 3" xfId="3661" xr:uid="{00000000-0005-0000-0000-00003A0E0000}"/>
    <cellStyle name="40% - Accent5 3 2 3 3 2" xfId="3662" xr:uid="{00000000-0005-0000-0000-00003B0E0000}"/>
    <cellStyle name="40% - Accent5 3 2 3 4" xfId="3663" xr:uid="{00000000-0005-0000-0000-00003C0E0000}"/>
    <cellStyle name="40% - Accent5 3 2 3 4 2" xfId="3664" xr:uid="{00000000-0005-0000-0000-00003D0E0000}"/>
    <cellStyle name="40% - Accent5 3 2 3 5" xfId="3665" xr:uid="{00000000-0005-0000-0000-00003E0E0000}"/>
    <cellStyle name="40% - Accent5 3 2 3 5 2" xfId="3666" xr:uid="{00000000-0005-0000-0000-00003F0E0000}"/>
    <cellStyle name="40% - Accent5 3 2 3 6" xfId="3667" xr:uid="{00000000-0005-0000-0000-0000400E0000}"/>
    <cellStyle name="40% - Accent5 3 2 4" xfId="3668" xr:uid="{00000000-0005-0000-0000-0000410E0000}"/>
    <cellStyle name="40% - Accent5 3 2 4 2" xfId="3669" xr:uid="{00000000-0005-0000-0000-0000420E0000}"/>
    <cellStyle name="40% - Accent5 3 2 5" xfId="3670" xr:uid="{00000000-0005-0000-0000-0000430E0000}"/>
    <cellStyle name="40% - Accent5 3 2 5 2" xfId="3671" xr:uid="{00000000-0005-0000-0000-0000440E0000}"/>
    <cellStyle name="40% - Accent5 3 2 6" xfId="3672" xr:uid="{00000000-0005-0000-0000-0000450E0000}"/>
    <cellStyle name="40% - Accent5 3 2 6 2" xfId="3673" xr:uid="{00000000-0005-0000-0000-0000460E0000}"/>
    <cellStyle name="40% - Accent5 3 2 7" xfId="3674" xr:uid="{00000000-0005-0000-0000-0000470E0000}"/>
    <cellStyle name="40% - Accent5 3 2 7 2" xfId="3675" xr:uid="{00000000-0005-0000-0000-0000480E0000}"/>
    <cellStyle name="40% - Accent5 3 2 8" xfId="3676" xr:uid="{00000000-0005-0000-0000-0000490E0000}"/>
    <cellStyle name="40% - Accent5 3 2 8 2" xfId="3677" xr:uid="{00000000-0005-0000-0000-00004A0E0000}"/>
    <cellStyle name="40% - Accent5 3 2 9" xfId="3678" xr:uid="{00000000-0005-0000-0000-00004B0E0000}"/>
    <cellStyle name="40% - Accent5 3 2 9 2" xfId="3679" xr:uid="{00000000-0005-0000-0000-00004C0E0000}"/>
    <cellStyle name="40% - Accent5 3 3" xfId="3680" xr:uid="{00000000-0005-0000-0000-00004D0E0000}"/>
    <cellStyle name="40% - Accent5 3 3 2" xfId="3681" xr:uid="{00000000-0005-0000-0000-00004E0E0000}"/>
    <cellStyle name="40% - Accent5 3 3 2 2" xfId="3682" xr:uid="{00000000-0005-0000-0000-00004F0E0000}"/>
    <cellStyle name="40% - Accent5 3 3 3" xfId="3683" xr:uid="{00000000-0005-0000-0000-0000500E0000}"/>
    <cellStyle name="40% - Accent5 3 3 3 2" xfId="3684" xr:uid="{00000000-0005-0000-0000-0000510E0000}"/>
    <cellStyle name="40% - Accent5 3 3 4" xfId="3685" xr:uid="{00000000-0005-0000-0000-0000520E0000}"/>
    <cellStyle name="40% - Accent5 3 3 4 2" xfId="3686" xr:uid="{00000000-0005-0000-0000-0000530E0000}"/>
    <cellStyle name="40% - Accent5 3 3 5" xfId="3687" xr:uid="{00000000-0005-0000-0000-0000540E0000}"/>
    <cellStyle name="40% - Accent5 3 3 5 2" xfId="3688" xr:uid="{00000000-0005-0000-0000-0000550E0000}"/>
    <cellStyle name="40% - Accent5 3 3 6" xfId="3689" xr:uid="{00000000-0005-0000-0000-0000560E0000}"/>
    <cellStyle name="40% - Accent5 3 4" xfId="3690" xr:uid="{00000000-0005-0000-0000-0000570E0000}"/>
    <cellStyle name="40% - Accent5 3 4 2" xfId="3691" xr:uid="{00000000-0005-0000-0000-0000580E0000}"/>
    <cellStyle name="40% - Accent5 3 4 2 2" xfId="3692" xr:uid="{00000000-0005-0000-0000-0000590E0000}"/>
    <cellStyle name="40% - Accent5 3 4 3" xfId="3693" xr:uid="{00000000-0005-0000-0000-00005A0E0000}"/>
    <cellStyle name="40% - Accent5 3 4 3 2" xfId="3694" xr:uid="{00000000-0005-0000-0000-00005B0E0000}"/>
    <cellStyle name="40% - Accent5 3 4 4" xfId="3695" xr:uid="{00000000-0005-0000-0000-00005C0E0000}"/>
    <cellStyle name="40% - Accent5 3 4 4 2" xfId="3696" xr:uid="{00000000-0005-0000-0000-00005D0E0000}"/>
    <cellStyle name="40% - Accent5 3 4 5" xfId="3697" xr:uid="{00000000-0005-0000-0000-00005E0E0000}"/>
    <cellStyle name="40% - Accent5 3 4 5 2" xfId="3698" xr:uid="{00000000-0005-0000-0000-00005F0E0000}"/>
    <cellStyle name="40% - Accent5 3 4 6" xfId="3699" xr:uid="{00000000-0005-0000-0000-0000600E0000}"/>
    <cellStyle name="40% - Accent5 3 5" xfId="3700" xr:uid="{00000000-0005-0000-0000-0000610E0000}"/>
    <cellStyle name="40% - Accent5 3 5 2" xfId="3701" xr:uid="{00000000-0005-0000-0000-0000620E0000}"/>
    <cellStyle name="40% - Accent5 3 6" xfId="3702" xr:uid="{00000000-0005-0000-0000-0000630E0000}"/>
    <cellStyle name="40% - Accent5 3 6 2" xfId="3703" xr:uid="{00000000-0005-0000-0000-0000640E0000}"/>
    <cellStyle name="40% - Accent5 3 7" xfId="3704" xr:uid="{00000000-0005-0000-0000-0000650E0000}"/>
    <cellStyle name="40% - Accent5 3 7 2" xfId="3705" xr:uid="{00000000-0005-0000-0000-0000660E0000}"/>
    <cellStyle name="40% - Accent5 3 8" xfId="3706" xr:uid="{00000000-0005-0000-0000-0000670E0000}"/>
    <cellStyle name="40% - Accent5 3 8 2" xfId="3707" xr:uid="{00000000-0005-0000-0000-0000680E0000}"/>
    <cellStyle name="40% - Accent5 3 9" xfId="3708" xr:uid="{00000000-0005-0000-0000-0000690E0000}"/>
    <cellStyle name="40% - Accent5 3 9 2" xfId="3709" xr:uid="{00000000-0005-0000-0000-00006A0E0000}"/>
    <cellStyle name="40% - Accent5 4" xfId="3710" xr:uid="{00000000-0005-0000-0000-00006B0E0000}"/>
    <cellStyle name="40% - Accent5 4 10" xfId="3711" xr:uid="{00000000-0005-0000-0000-00006C0E0000}"/>
    <cellStyle name="40% - Accent5 4 10 2" xfId="3712" xr:uid="{00000000-0005-0000-0000-00006D0E0000}"/>
    <cellStyle name="40% - Accent5 4 11" xfId="3713" xr:uid="{00000000-0005-0000-0000-00006E0E0000}"/>
    <cellStyle name="40% - Accent5 4 2" xfId="3714" xr:uid="{00000000-0005-0000-0000-00006F0E0000}"/>
    <cellStyle name="40% - Accent5 4 2 10" xfId="3715" xr:uid="{00000000-0005-0000-0000-0000700E0000}"/>
    <cellStyle name="40% - Accent5 4 2 2" xfId="3716" xr:uid="{00000000-0005-0000-0000-0000710E0000}"/>
    <cellStyle name="40% - Accent5 4 2 2 2" xfId="3717" xr:uid="{00000000-0005-0000-0000-0000720E0000}"/>
    <cellStyle name="40% - Accent5 4 2 2 2 2" xfId="3718" xr:uid="{00000000-0005-0000-0000-0000730E0000}"/>
    <cellStyle name="40% - Accent5 4 2 2 3" xfId="3719" xr:uid="{00000000-0005-0000-0000-0000740E0000}"/>
    <cellStyle name="40% - Accent5 4 2 2 3 2" xfId="3720" xr:uid="{00000000-0005-0000-0000-0000750E0000}"/>
    <cellStyle name="40% - Accent5 4 2 2 4" xfId="3721" xr:uid="{00000000-0005-0000-0000-0000760E0000}"/>
    <cellStyle name="40% - Accent5 4 2 2 4 2" xfId="3722" xr:uid="{00000000-0005-0000-0000-0000770E0000}"/>
    <cellStyle name="40% - Accent5 4 2 2 5" xfId="3723" xr:uid="{00000000-0005-0000-0000-0000780E0000}"/>
    <cellStyle name="40% - Accent5 4 2 2 5 2" xfId="3724" xr:uid="{00000000-0005-0000-0000-0000790E0000}"/>
    <cellStyle name="40% - Accent5 4 2 2 6" xfId="3725" xr:uid="{00000000-0005-0000-0000-00007A0E0000}"/>
    <cellStyle name="40% - Accent5 4 2 3" xfId="3726" xr:uid="{00000000-0005-0000-0000-00007B0E0000}"/>
    <cellStyle name="40% - Accent5 4 2 3 2" xfId="3727" xr:uid="{00000000-0005-0000-0000-00007C0E0000}"/>
    <cellStyle name="40% - Accent5 4 2 3 2 2" xfId="3728" xr:uid="{00000000-0005-0000-0000-00007D0E0000}"/>
    <cellStyle name="40% - Accent5 4 2 3 3" xfId="3729" xr:uid="{00000000-0005-0000-0000-00007E0E0000}"/>
    <cellStyle name="40% - Accent5 4 2 3 3 2" xfId="3730" xr:uid="{00000000-0005-0000-0000-00007F0E0000}"/>
    <cellStyle name="40% - Accent5 4 2 3 4" xfId="3731" xr:uid="{00000000-0005-0000-0000-0000800E0000}"/>
    <cellStyle name="40% - Accent5 4 2 3 4 2" xfId="3732" xr:uid="{00000000-0005-0000-0000-0000810E0000}"/>
    <cellStyle name="40% - Accent5 4 2 3 5" xfId="3733" xr:uid="{00000000-0005-0000-0000-0000820E0000}"/>
    <cellStyle name="40% - Accent5 4 2 3 5 2" xfId="3734" xr:uid="{00000000-0005-0000-0000-0000830E0000}"/>
    <cellStyle name="40% - Accent5 4 2 3 6" xfId="3735" xr:uid="{00000000-0005-0000-0000-0000840E0000}"/>
    <cellStyle name="40% - Accent5 4 2 4" xfId="3736" xr:uid="{00000000-0005-0000-0000-0000850E0000}"/>
    <cellStyle name="40% - Accent5 4 2 4 2" xfId="3737" xr:uid="{00000000-0005-0000-0000-0000860E0000}"/>
    <cellStyle name="40% - Accent5 4 2 5" xfId="3738" xr:uid="{00000000-0005-0000-0000-0000870E0000}"/>
    <cellStyle name="40% - Accent5 4 2 5 2" xfId="3739" xr:uid="{00000000-0005-0000-0000-0000880E0000}"/>
    <cellStyle name="40% - Accent5 4 2 6" xfId="3740" xr:uid="{00000000-0005-0000-0000-0000890E0000}"/>
    <cellStyle name="40% - Accent5 4 2 6 2" xfId="3741" xr:uid="{00000000-0005-0000-0000-00008A0E0000}"/>
    <cellStyle name="40% - Accent5 4 2 7" xfId="3742" xr:uid="{00000000-0005-0000-0000-00008B0E0000}"/>
    <cellStyle name="40% - Accent5 4 2 7 2" xfId="3743" xr:uid="{00000000-0005-0000-0000-00008C0E0000}"/>
    <cellStyle name="40% - Accent5 4 2 8" xfId="3744" xr:uid="{00000000-0005-0000-0000-00008D0E0000}"/>
    <cellStyle name="40% - Accent5 4 2 8 2" xfId="3745" xr:uid="{00000000-0005-0000-0000-00008E0E0000}"/>
    <cellStyle name="40% - Accent5 4 2 9" xfId="3746" xr:uid="{00000000-0005-0000-0000-00008F0E0000}"/>
    <cellStyle name="40% - Accent5 4 2 9 2" xfId="3747" xr:uid="{00000000-0005-0000-0000-0000900E0000}"/>
    <cellStyle name="40% - Accent5 4 3" xfId="3748" xr:uid="{00000000-0005-0000-0000-0000910E0000}"/>
    <cellStyle name="40% - Accent5 4 3 2" xfId="3749" xr:uid="{00000000-0005-0000-0000-0000920E0000}"/>
    <cellStyle name="40% - Accent5 4 3 2 2" xfId="3750" xr:uid="{00000000-0005-0000-0000-0000930E0000}"/>
    <cellStyle name="40% - Accent5 4 3 3" xfId="3751" xr:uid="{00000000-0005-0000-0000-0000940E0000}"/>
    <cellStyle name="40% - Accent5 4 3 3 2" xfId="3752" xr:uid="{00000000-0005-0000-0000-0000950E0000}"/>
    <cellStyle name="40% - Accent5 4 3 4" xfId="3753" xr:uid="{00000000-0005-0000-0000-0000960E0000}"/>
    <cellStyle name="40% - Accent5 4 3 4 2" xfId="3754" xr:uid="{00000000-0005-0000-0000-0000970E0000}"/>
    <cellStyle name="40% - Accent5 4 3 5" xfId="3755" xr:uid="{00000000-0005-0000-0000-0000980E0000}"/>
    <cellStyle name="40% - Accent5 4 3 5 2" xfId="3756" xr:uid="{00000000-0005-0000-0000-0000990E0000}"/>
    <cellStyle name="40% - Accent5 4 3 6" xfId="3757" xr:uid="{00000000-0005-0000-0000-00009A0E0000}"/>
    <cellStyle name="40% - Accent5 4 4" xfId="3758" xr:uid="{00000000-0005-0000-0000-00009B0E0000}"/>
    <cellStyle name="40% - Accent5 4 4 2" xfId="3759" xr:uid="{00000000-0005-0000-0000-00009C0E0000}"/>
    <cellStyle name="40% - Accent5 4 4 2 2" xfId="3760" xr:uid="{00000000-0005-0000-0000-00009D0E0000}"/>
    <cellStyle name="40% - Accent5 4 4 3" xfId="3761" xr:uid="{00000000-0005-0000-0000-00009E0E0000}"/>
    <cellStyle name="40% - Accent5 4 4 3 2" xfId="3762" xr:uid="{00000000-0005-0000-0000-00009F0E0000}"/>
    <cellStyle name="40% - Accent5 4 4 4" xfId="3763" xr:uid="{00000000-0005-0000-0000-0000A00E0000}"/>
    <cellStyle name="40% - Accent5 4 4 4 2" xfId="3764" xr:uid="{00000000-0005-0000-0000-0000A10E0000}"/>
    <cellStyle name="40% - Accent5 4 4 5" xfId="3765" xr:uid="{00000000-0005-0000-0000-0000A20E0000}"/>
    <cellStyle name="40% - Accent5 4 4 5 2" xfId="3766" xr:uid="{00000000-0005-0000-0000-0000A30E0000}"/>
    <cellStyle name="40% - Accent5 4 4 6" xfId="3767" xr:uid="{00000000-0005-0000-0000-0000A40E0000}"/>
    <cellStyle name="40% - Accent5 4 5" xfId="3768" xr:uid="{00000000-0005-0000-0000-0000A50E0000}"/>
    <cellStyle name="40% - Accent5 4 5 2" xfId="3769" xr:uid="{00000000-0005-0000-0000-0000A60E0000}"/>
    <cellStyle name="40% - Accent5 4 6" xfId="3770" xr:uid="{00000000-0005-0000-0000-0000A70E0000}"/>
    <cellStyle name="40% - Accent5 4 6 2" xfId="3771" xr:uid="{00000000-0005-0000-0000-0000A80E0000}"/>
    <cellStyle name="40% - Accent5 4 7" xfId="3772" xr:uid="{00000000-0005-0000-0000-0000A90E0000}"/>
    <cellStyle name="40% - Accent5 4 7 2" xfId="3773" xr:uid="{00000000-0005-0000-0000-0000AA0E0000}"/>
    <cellStyle name="40% - Accent5 4 8" xfId="3774" xr:uid="{00000000-0005-0000-0000-0000AB0E0000}"/>
    <cellStyle name="40% - Accent5 4 8 2" xfId="3775" xr:uid="{00000000-0005-0000-0000-0000AC0E0000}"/>
    <cellStyle name="40% - Accent5 4 9" xfId="3776" xr:uid="{00000000-0005-0000-0000-0000AD0E0000}"/>
    <cellStyle name="40% - Accent5 4 9 2" xfId="3777" xr:uid="{00000000-0005-0000-0000-0000AE0E0000}"/>
    <cellStyle name="40% - Accent5 5" xfId="3778" xr:uid="{00000000-0005-0000-0000-0000AF0E0000}"/>
    <cellStyle name="40% - Accent5 5 10" xfId="3779" xr:uid="{00000000-0005-0000-0000-0000B00E0000}"/>
    <cellStyle name="40% - Accent5 5 2" xfId="3780" xr:uid="{00000000-0005-0000-0000-0000B10E0000}"/>
    <cellStyle name="40% - Accent5 5 2 2" xfId="3781" xr:uid="{00000000-0005-0000-0000-0000B20E0000}"/>
    <cellStyle name="40% - Accent5 5 2 2 2" xfId="3782" xr:uid="{00000000-0005-0000-0000-0000B30E0000}"/>
    <cellStyle name="40% - Accent5 5 2 3" xfId="3783" xr:uid="{00000000-0005-0000-0000-0000B40E0000}"/>
    <cellStyle name="40% - Accent5 5 2 3 2" xfId="3784" xr:uid="{00000000-0005-0000-0000-0000B50E0000}"/>
    <cellStyle name="40% - Accent5 5 2 4" xfId="3785" xr:uid="{00000000-0005-0000-0000-0000B60E0000}"/>
    <cellStyle name="40% - Accent5 5 2 4 2" xfId="3786" xr:uid="{00000000-0005-0000-0000-0000B70E0000}"/>
    <cellStyle name="40% - Accent5 5 2 5" xfId="3787" xr:uid="{00000000-0005-0000-0000-0000B80E0000}"/>
    <cellStyle name="40% - Accent5 5 2 5 2" xfId="3788" xr:uid="{00000000-0005-0000-0000-0000B90E0000}"/>
    <cellStyle name="40% - Accent5 5 2 6" xfId="3789" xr:uid="{00000000-0005-0000-0000-0000BA0E0000}"/>
    <cellStyle name="40% - Accent5 5 3" xfId="3790" xr:uid="{00000000-0005-0000-0000-0000BB0E0000}"/>
    <cellStyle name="40% - Accent5 5 3 2" xfId="3791" xr:uid="{00000000-0005-0000-0000-0000BC0E0000}"/>
    <cellStyle name="40% - Accent5 5 3 2 2" xfId="3792" xr:uid="{00000000-0005-0000-0000-0000BD0E0000}"/>
    <cellStyle name="40% - Accent5 5 3 3" xfId="3793" xr:uid="{00000000-0005-0000-0000-0000BE0E0000}"/>
    <cellStyle name="40% - Accent5 5 3 3 2" xfId="3794" xr:uid="{00000000-0005-0000-0000-0000BF0E0000}"/>
    <cellStyle name="40% - Accent5 5 3 4" xfId="3795" xr:uid="{00000000-0005-0000-0000-0000C00E0000}"/>
    <cellStyle name="40% - Accent5 5 3 4 2" xfId="3796" xr:uid="{00000000-0005-0000-0000-0000C10E0000}"/>
    <cellStyle name="40% - Accent5 5 3 5" xfId="3797" xr:uid="{00000000-0005-0000-0000-0000C20E0000}"/>
    <cellStyle name="40% - Accent5 5 3 5 2" xfId="3798" xr:uid="{00000000-0005-0000-0000-0000C30E0000}"/>
    <cellStyle name="40% - Accent5 5 3 6" xfId="3799" xr:uid="{00000000-0005-0000-0000-0000C40E0000}"/>
    <cellStyle name="40% - Accent5 5 4" xfId="3800" xr:uid="{00000000-0005-0000-0000-0000C50E0000}"/>
    <cellStyle name="40% - Accent5 5 4 2" xfId="3801" xr:uid="{00000000-0005-0000-0000-0000C60E0000}"/>
    <cellStyle name="40% - Accent5 5 5" xfId="3802" xr:uid="{00000000-0005-0000-0000-0000C70E0000}"/>
    <cellStyle name="40% - Accent5 5 5 2" xfId="3803" xr:uid="{00000000-0005-0000-0000-0000C80E0000}"/>
    <cellStyle name="40% - Accent5 5 6" xfId="3804" xr:uid="{00000000-0005-0000-0000-0000C90E0000}"/>
    <cellStyle name="40% - Accent5 5 6 2" xfId="3805" xr:uid="{00000000-0005-0000-0000-0000CA0E0000}"/>
    <cellStyle name="40% - Accent5 5 7" xfId="3806" xr:uid="{00000000-0005-0000-0000-0000CB0E0000}"/>
    <cellStyle name="40% - Accent5 5 7 2" xfId="3807" xr:uid="{00000000-0005-0000-0000-0000CC0E0000}"/>
    <cellStyle name="40% - Accent5 5 8" xfId="3808" xr:uid="{00000000-0005-0000-0000-0000CD0E0000}"/>
    <cellStyle name="40% - Accent5 5 8 2" xfId="3809" xr:uid="{00000000-0005-0000-0000-0000CE0E0000}"/>
    <cellStyle name="40% - Accent5 5 9" xfId="3810" xr:uid="{00000000-0005-0000-0000-0000CF0E0000}"/>
    <cellStyle name="40% - Accent5 5 9 2" xfId="3811" xr:uid="{00000000-0005-0000-0000-0000D00E0000}"/>
    <cellStyle name="40% - Accent5 6" xfId="3812" xr:uid="{00000000-0005-0000-0000-0000D10E0000}"/>
    <cellStyle name="40% - Accent5 6 10" xfId="3813" xr:uid="{00000000-0005-0000-0000-0000D20E0000}"/>
    <cellStyle name="40% - Accent5 6 2" xfId="3814" xr:uid="{00000000-0005-0000-0000-0000D30E0000}"/>
    <cellStyle name="40% - Accent5 6 2 2" xfId="3815" xr:uid="{00000000-0005-0000-0000-0000D40E0000}"/>
    <cellStyle name="40% - Accent5 6 2 2 2" xfId="3816" xr:uid="{00000000-0005-0000-0000-0000D50E0000}"/>
    <cellStyle name="40% - Accent5 6 2 3" xfId="3817" xr:uid="{00000000-0005-0000-0000-0000D60E0000}"/>
    <cellStyle name="40% - Accent5 6 2 3 2" xfId="3818" xr:uid="{00000000-0005-0000-0000-0000D70E0000}"/>
    <cellStyle name="40% - Accent5 6 2 4" xfId="3819" xr:uid="{00000000-0005-0000-0000-0000D80E0000}"/>
    <cellStyle name="40% - Accent5 6 2 4 2" xfId="3820" xr:uid="{00000000-0005-0000-0000-0000D90E0000}"/>
    <cellStyle name="40% - Accent5 6 2 5" xfId="3821" xr:uid="{00000000-0005-0000-0000-0000DA0E0000}"/>
    <cellStyle name="40% - Accent5 6 2 5 2" xfId="3822" xr:uid="{00000000-0005-0000-0000-0000DB0E0000}"/>
    <cellStyle name="40% - Accent5 6 2 6" xfId="3823" xr:uid="{00000000-0005-0000-0000-0000DC0E0000}"/>
    <cellStyle name="40% - Accent5 6 3" xfId="3824" xr:uid="{00000000-0005-0000-0000-0000DD0E0000}"/>
    <cellStyle name="40% - Accent5 6 3 2" xfId="3825" xr:uid="{00000000-0005-0000-0000-0000DE0E0000}"/>
    <cellStyle name="40% - Accent5 6 3 2 2" xfId="3826" xr:uid="{00000000-0005-0000-0000-0000DF0E0000}"/>
    <cellStyle name="40% - Accent5 6 3 3" xfId="3827" xr:uid="{00000000-0005-0000-0000-0000E00E0000}"/>
    <cellStyle name="40% - Accent5 6 3 3 2" xfId="3828" xr:uid="{00000000-0005-0000-0000-0000E10E0000}"/>
    <cellStyle name="40% - Accent5 6 3 4" xfId="3829" xr:uid="{00000000-0005-0000-0000-0000E20E0000}"/>
    <cellStyle name="40% - Accent5 6 3 4 2" xfId="3830" xr:uid="{00000000-0005-0000-0000-0000E30E0000}"/>
    <cellStyle name="40% - Accent5 6 3 5" xfId="3831" xr:uid="{00000000-0005-0000-0000-0000E40E0000}"/>
    <cellStyle name="40% - Accent5 6 3 5 2" xfId="3832" xr:uid="{00000000-0005-0000-0000-0000E50E0000}"/>
    <cellStyle name="40% - Accent5 6 3 6" xfId="3833" xr:uid="{00000000-0005-0000-0000-0000E60E0000}"/>
    <cellStyle name="40% - Accent5 6 4" xfId="3834" xr:uid="{00000000-0005-0000-0000-0000E70E0000}"/>
    <cellStyle name="40% - Accent5 6 4 2" xfId="3835" xr:uid="{00000000-0005-0000-0000-0000E80E0000}"/>
    <cellStyle name="40% - Accent5 6 5" xfId="3836" xr:uid="{00000000-0005-0000-0000-0000E90E0000}"/>
    <cellStyle name="40% - Accent5 6 5 2" xfId="3837" xr:uid="{00000000-0005-0000-0000-0000EA0E0000}"/>
    <cellStyle name="40% - Accent5 6 6" xfId="3838" xr:uid="{00000000-0005-0000-0000-0000EB0E0000}"/>
    <cellStyle name="40% - Accent5 6 6 2" xfId="3839" xr:uid="{00000000-0005-0000-0000-0000EC0E0000}"/>
    <cellStyle name="40% - Accent5 6 7" xfId="3840" xr:uid="{00000000-0005-0000-0000-0000ED0E0000}"/>
    <cellStyle name="40% - Accent5 6 7 2" xfId="3841" xr:uid="{00000000-0005-0000-0000-0000EE0E0000}"/>
    <cellStyle name="40% - Accent5 6 8" xfId="3842" xr:uid="{00000000-0005-0000-0000-0000EF0E0000}"/>
    <cellStyle name="40% - Accent5 6 8 2" xfId="3843" xr:uid="{00000000-0005-0000-0000-0000F00E0000}"/>
    <cellStyle name="40% - Accent5 6 9" xfId="3844" xr:uid="{00000000-0005-0000-0000-0000F10E0000}"/>
    <cellStyle name="40% - Accent5 6 9 2" xfId="3845" xr:uid="{00000000-0005-0000-0000-0000F20E0000}"/>
    <cellStyle name="40% - Accent5 7" xfId="3846" xr:uid="{00000000-0005-0000-0000-0000F30E0000}"/>
    <cellStyle name="40% - Accent5 7 10" xfId="3847" xr:uid="{00000000-0005-0000-0000-0000F40E0000}"/>
    <cellStyle name="40% - Accent5 7 2" xfId="3848" xr:uid="{00000000-0005-0000-0000-0000F50E0000}"/>
    <cellStyle name="40% - Accent5 7 2 2" xfId="3849" xr:uid="{00000000-0005-0000-0000-0000F60E0000}"/>
    <cellStyle name="40% - Accent5 7 2 2 2" xfId="3850" xr:uid="{00000000-0005-0000-0000-0000F70E0000}"/>
    <cellStyle name="40% - Accent5 7 2 3" xfId="3851" xr:uid="{00000000-0005-0000-0000-0000F80E0000}"/>
    <cellStyle name="40% - Accent5 7 2 3 2" xfId="3852" xr:uid="{00000000-0005-0000-0000-0000F90E0000}"/>
    <cellStyle name="40% - Accent5 7 2 4" xfId="3853" xr:uid="{00000000-0005-0000-0000-0000FA0E0000}"/>
    <cellStyle name="40% - Accent5 7 2 4 2" xfId="3854" xr:uid="{00000000-0005-0000-0000-0000FB0E0000}"/>
    <cellStyle name="40% - Accent5 7 2 5" xfId="3855" xr:uid="{00000000-0005-0000-0000-0000FC0E0000}"/>
    <cellStyle name="40% - Accent5 7 2 5 2" xfId="3856" xr:uid="{00000000-0005-0000-0000-0000FD0E0000}"/>
    <cellStyle name="40% - Accent5 7 2 6" xfId="3857" xr:uid="{00000000-0005-0000-0000-0000FE0E0000}"/>
    <cellStyle name="40% - Accent5 7 3" xfId="3858" xr:uid="{00000000-0005-0000-0000-0000FF0E0000}"/>
    <cellStyle name="40% - Accent5 7 3 2" xfId="3859" xr:uid="{00000000-0005-0000-0000-0000000F0000}"/>
    <cellStyle name="40% - Accent5 7 3 2 2" xfId="3860" xr:uid="{00000000-0005-0000-0000-0000010F0000}"/>
    <cellStyle name="40% - Accent5 7 3 3" xfId="3861" xr:uid="{00000000-0005-0000-0000-0000020F0000}"/>
    <cellStyle name="40% - Accent5 7 3 3 2" xfId="3862" xr:uid="{00000000-0005-0000-0000-0000030F0000}"/>
    <cellStyle name="40% - Accent5 7 3 4" xfId="3863" xr:uid="{00000000-0005-0000-0000-0000040F0000}"/>
    <cellStyle name="40% - Accent5 7 3 4 2" xfId="3864" xr:uid="{00000000-0005-0000-0000-0000050F0000}"/>
    <cellStyle name="40% - Accent5 7 3 5" xfId="3865" xr:uid="{00000000-0005-0000-0000-0000060F0000}"/>
    <cellStyle name="40% - Accent5 7 3 5 2" xfId="3866" xr:uid="{00000000-0005-0000-0000-0000070F0000}"/>
    <cellStyle name="40% - Accent5 7 3 6" xfId="3867" xr:uid="{00000000-0005-0000-0000-0000080F0000}"/>
    <cellStyle name="40% - Accent5 7 4" xfId="3868" xr:uid="{00000000-0005-0000-0000-0000090F0000}"/>
    <cellStyle name="40% - Accent5 7 4 2" xfId="3869" xr:uid="{00000000-0005-0000-0000-00000A0F0000}"/>
    <cellStyle name="40% - Accent5 7 5" xfId="3870" xr:uid="{00000000-0005-0000-0000-00000B0F0000}"/>
    <cellStyle name="40% - Accent5 7 5 2" xfId="3871" xr:uid="{00000000-0005-0000-0000-00000C0F0000}"/>
    <cellStyle name="40% - Accent5 7 6" xfId="3872" xr:uid="{00000000-0005-0000-0000-00000D0F0000}"/>
    <cellStyle name="40% - Accent5 7 6 2" xfId="3873" xr:uid="{00000000-0005-0000-0000-00000E0F0000}"/>
    <cellStyle name="40% - Accent5 7 7" xfId="3874" xr:uid="{00000000-0005-0000-0000-00000F0F0000}"/>
    <cellStyle name="40% - Accent5 7 7 2" xfId="3875" xr:uid="{00000000-0005-0000-0000-0000100F0000}"/>
    <cellStyle name="40% - Accent5 7 8" xfId="3876" xr:uid="{00000000-0005-0000-0000-0000110F0000}"/>
    <cellStyle name="40% - Accent5 7 8 2" xfId="3877" xr:uid="{00000000-0005-0000-0000-0000120F0000}"/>
    <cellStyle name="40% - Accent5 7 9" xfId="3878" xr:uid="{00000000-0005-0000-0000-0000130F0000}"/>
    <cellStyle name="40% - Accent5 7 9 2" xfId="3879" xr:uid="{00000000-0005-0000-0000-0000140F0000}"/>
    <cellStyle name="40% - Accent5 8" xfId="3880" xr:uid="{00000000-0005-0000-0000-0000150F0000}"/>
    <cellStyle name="40% - Accent5 8 2" xfId="3881" xr:uid="{00000000-0005-0000-0000-0000160F0000}"/>
    <cellStyle name="40% - Accent5 8 2 2" xfId="3882" xr:uid="{00000000-0005-0000-0000-0000170F0000}"/>
    <cellStyle name="40% - Accent5 8 3" xfId="3883" xr:uid="{00000000-0005-0000-0000-0000180F0000}"/>
    <cellStyle name="40% - Accent5 8 3 2" xfId="3884" xr:uid="{00000000-0005-0000-0000-0000190F0000}"/>
    <cellStyle name="40% - Accent5 8 4" xfId="3885" xr:uid="{00000000-0005-0000-0000-00001A0F0000}"/>
    <cellStyle name="40% - Accent5 8 4 2" xfId="3886" xr:uid="{00000000-0005-0000-0000-00001B0F0000}"/>
    <cellStyle name="40% - Accent5 8 5" xfId="3887" xr:uid="{00000000-0005-0000-0000-00001C0F0000}"/>
    <cellStyle name="40% - Accent5 8 5 2" xfId="3888" xr:uid="{00000000-0005-0000-0000-00001D0F0000}"/>
    <cellStyle name="40% - Accent5 8 6" xfId="3889" xr:uid="{00000000-0005-0000-0000-00001E0F0000}"/>
    <cellStyle name="40% - Accent5 9" xfId="3890" xr:uid="{00000000-0005-0000-0000-00001F0F0000}"/>
    <cellStyle name="40% - Accent5 9 2" xfId="3891" xr:uid="{00000000-0005-0000-0000-0000200F0000}"/>
    <cellStyle name="40% - Accent5 9 2 2" xfId="3892" xr:uid="{00000000-0005-0000-0000-0000210F0000}"/>
    <cellStyle name="40% - Accent5 9 3" xfId="3893" xr:uid="{00000000-0005-0000-0000-0000220F0000}"/>
    <cellStyle name="40% - Accent5 9 3 2" xfId="3894" xr:uid="{00000000-0005-0000-0000-0000230F0000}"/>
    <cellStyle name="40% - Accent5 9 4" xfId="3895" xr:uid="{00000000-0005-0000-0000-0000240F0000}"/>
    <cellStyle name="40% - Accent5 9 4 2" xfId="3896" xr:uid="{00000000-0005-0000-0000-0000250F0000}"/>
    <cellStyle name="40% - Accent5 9 5" xfId="3897" xr:uid="{00000000-0005-0000-0000-0000260F0000}"/>
    <cellStyle name="40% - Accent5 9 5 2" xfId="3898" xr:uid="{00000000-0005-0000-0000-0000270F0000}"/>
    <cellStyle name="40% - Accent5 9 6" xfId="3899" xr:uid="{00000000-0005-0000-0000-0000280F0000}"/>
    <cellStyle name="40% - Accent6 10" xfId="3900" xr:uid="{00000000-0005-0000-0000-0000290F0000}"/>
    <cellStyle name="40% - Accent6 10 2" xfId="3901" xr:uid="{00000000-0005-0000-0000-00002A0F0000}"/>
    <cellStyle name="40% - Accent6 10 2 2" xfId="3902" xr:uid="{00000000-0005-0000-0000-00002B0F0000}"/>
    <cellStyle name="40% - Accent6 10 3" xfId="3903" xr:uid="{00000000-0005-0000-0000-00002C0F0000}"/>
    <cellStyle name="40% - Accent6 10 3 2" xfId="3904" xr:uid="{00000000-0005-0000-0000-00002D0F0000}"/>
    <cellStyle name="40% - Accent6 10 4" xfId="3905" xr:uid="{00000000-0005-0000-0000-00002E0F0000}"/>
    <cellStyle name="40% - Accent6 11" xfId="3906" xr:uid="{00000000-0005-0000-0000-00002F0F0000}"/>
    <cellStyle name="40% - Accent6 11 2" xfId="3907" xr:uid="{00000000-0005-0000-0000-0000300F0000}"/>
    <cellStyle name="40% - Accent6 12" xfId="3908" xr:uid="{00000000-0005-0000-0000-0000310F0000}"/>
    <cellStyle name="40% - Accent6 12 2" xfId="3909" xr:uid="{00000000-0005-0000-0000-0000320F0000}"/>
    <cellStyle name="40% - Accent6 13" xfId="3910" xr:uid="{00000000-0005-0000-0000-0000330F0000}"/>
    <cellStyle name="40% - Accent6 13 2" xfId="3911" xr:uid="{00000000-0005-0000-0000-0000340F0000}"/>
    <cellStyle name="40% - Accent6 14" xfId="3912" xr:uid="{00000000-0005-0000-0000-0000350F0000}"/>
    <cellStyle name="40% - Accent6 14 2" xfId="3913" xr:uid="{00000000-0005-0000-0000-0000360F0000}"/>
    <cellStyle name="40% - Accent6 15" xfId="3914" xr:uid="{00000000-0005-0000-0000-0000370F0000}"/>
    <cellStyle name="40% - Accent6 15 2" xfId="3915" xr:uid="{00000000-0005-0000-0000-0000380F0000}"/>
    <cellStyle name="40% - Accent6 16" xfId="3916" xr:uid="{00000000-0005-0000-0000-0000390F0000}"/>
    <cellStyle name="40% - Accent6 16 2" xfId="3917" xr:uid="{00000000-0005-0000-0000-00003A0F0000}"/>
    <cellStyle name="40% - Accent6 17" xfId="3918" xr:uid="{00000000-0005-0000-0000-00003B0F0000}"/>
    <cellStyle name="40% - Accent6 17 2" xfId="3919" xr:uid="{00000000-0005-0000-0000-00003C0F0000}"/>
    <cellStyle name="40% - Accent6 18" xfId="3920" xr:uid="{00000000-0005-0000-0000-00003D0F0000}"/>
    <cellStyle name="40% - Accent6 18 2" xfId="3921" xr:uid="{00000000-0005-0000-0000-00003E0F0000}"/>
    <cellStyle name="40% - Accent6 19" xfId="3922" xr:uid="{00000000-0005-0000-0000-00003F0F0000}"/>
    <cellStyle name="40% - Accent6 19 2" xfId="3923" xr:uid="{00000000-0005-0000-0000-0000400F0000}"/>
    <cellStyle name="40% - Accent6 2" xfId="3924" xr:uid="{00000000-0005-0000-0000-0000410F0000}"/>
    <cellStyle name="40% - Accent6 2 10" xfId="3925" xr:uid="{00000000-0005-0000-0000-0000420F0000}"/>
    <cellStyle name="40% - Accent6 2 10 2" xfId="3926" xr:uid="{00000000-0005-0000-0000-0000430F0000}"/>
    <cellStyle name="40% - Accent6 2 11" xfId="3927" xr:uid="{00000000-0005-0000-0000-0000440F0000}"/>
    <cellStyle name="40% - Accent6 2 2" xfId="3928" xr:uid="{00000000-0005-0000-0000-0000450F0000}"/>
    <cellStyle name="40% - Accent6 2 2 10" xfId="3929" xr:uid="{00000000-0005-0000-0000-0000460F0000}"/>
    <cellStyle name="40% - Accent6 2 2 2" xfId="3930" xr:uid="{00000000-0005-0000-0000-0000470F0000}"/>
    <cellStyle name="40% - Accent6 2 2 2 2" xfId="3931" xr:uid="{00000000-0005-0000-0000-0000480F0000}"/>
    <cellStyle name="40% - Accent6 2 2 2 2 2" xfId="3932" xr:uid="{00000000-0005-0000-0000-0000490F0000}"/>
    <cellStyle name="40% - Accent6 2 2 2 3" xfId="3933" xr:uid="{00000000-0005-0000-0000-00004A0F0000}"/>
    <cellStyle name="40% - Accent6 2 2 2 3 2" xfId="3934" xr:uid="{00000000-0005-0000-0000-00004B0F0000}"/>
    <cellStyle name="40% - Accent6 2 2 2 4" xfId="3935" xr:uid="{00000000-0005-0000-0000-00004C0F0000}"/>
    <cellStyle name="40% - Accent6 2 2 2 4 2" xfId="3936" xr:uid="{00000000-0005-0000-0000-00004D0F0000}"/>
    <cellStyle name="40% - Accent6 2 2 2 5" xfId="3937" xr:uid="{00000000-0005-0000-0000-00004E0F0000}"/>
    <cellStyle name="40% - Accent6 2 2 2 5 2" xfId="3938" xr:uid="{00000000-0005-0000-0000-00004F0F0000}"/>
    <cellStyle name="40% - Accent6 2 2 2 6" xfId="3939" xr:uid="{00000000-0005-0000-0000-0000500F0000}"/>
    <cellStyle name="40% - Accent6 2 2 3" xfId="3940" xr:uid="{00000000-0005-0000-0000-0000510F0000}"/>
    <cellStyle name="40% - Accent6 2 2 3 2" xfId="3941" xr:uid="{00000000-0005-0000-0000-0000520F0000}"/>
    <cellStyle name="40% - Accent6 2 2 3 2 2" xfId="3942" xr:uid="{00000000-0005-0000-0000-0000530F0000}"/>
    <cellStyle name="40% - Accent6 2 2 3 3" xfId="3943" xr:uid="{00000000-0005-0000-0000-0000540F0000}"/>
    <cellStyle name="40% - Accent6 2 2 3 3 2" xfId="3944" xr:uid="{00000000-0005-0000-0000-0000550F0000}"/>
    <cellStyle name="40% - Accent6 2 2 3 4" xfId="3945" xr:uid="{00000000-0005-0000-0000-0000560F0000}"/>
    <cellStyle name="40% - Accent6 2 2 3 4 2" xfId="3946" xr:uid="{00000000-0005-0000-0000-0000570F0000}"/>
    <cellStyle name="40% - Accent6 2 2 3 5" xfId="3947" xr:uid="{00000000-0005-0000-0000-0000580F0000}"/>
    <cellStyle name="40% - Accent6 2 2 3 5 2" xfId="3948" xr:uid="{00000000-0005-0000-0000-0000590F0000}"/>
    <cellStyle name="40% - Accent6 2 2 3 6" xfId="3949" xr:uid="{00000000-0005-0000-0000-00005A0F0000}"/>
    <cellStyle name="40% - Accent6 2 2 4" xfId="3950" xr:uid="{00000000-0005-0000-0000-00005B0F0000}"/>
    <cellStyle name="40% - Accent6 2 2 4 2" xfId="3951" xr:uid="{00000000-0005-0000-0000-00005C0F0000}"/>
    <cellStyle name="40% - Accent6 2 2 5" xfId="3952" xr:uid="{00000000-0005-0000-0000-00005D0F0000}"/>
    <cellStyle name="40% - Accent6 2 2 5 2" xfId="3953" xr:uid="{00000000-0005-0000-0000-00005E0F0000}"/>
    <cellStyle name="40% - Accent6 2 2 6" xfId="3954" xr:uid="{00000000-0005-0000-0000-00005F0F0000}"/>
    <cellStyle name="40% - Accent6 2 2 6 2" xfId="3955" xr:uid="{00000000-0005-0000-0000-0000600F0000}"/>
    <cellStyle name="40% - Accent6 2 2 7" xfId="3956" xr:uid="{00000000-0005-0000-0000-0000610F0000}"/>
    <cellStyle name="40% - Accent6 2 2 7 2" xfId="3957" xr:uid="{00000000-0005-0000-0000-0000620F0000}"/>
    <cellStyle name="40% - Accent6 2 2 8" xfId="3958" xr:uid="{00000000-0005-0000-0000-0000630F0000}"/>
    <cellStyle name="40% - Accent6 2 2 8 2" xfId="3959" xr:uid="{00000000-0005-0000-0000-0000640F0000}"/>
    <cellStyle name="40% - Accent6 2 2 9" xfId="3960" xr:uid="{00000000-0005-0000-0000-0000650F0000}"/>
    <cellStyle name="40% - Accent6 2 2 9 2" xfId="3961" xr:uid="{00000000-0005-0000-0000-0000660F0000}"/>
    <cellStyle name="40% - Accent6 2 3" xfId="3962" xr:uid="{00000000-0005-0000-0000-0000670F0000}"/>
    <cellStyle name="40% - Accent6 2 3 2" xfId="3963" xr:uid="{00000000-0005-0000-0000-0000680F0000}"/>
    <cellStyle name="40% - Accent6 2 3 2 2" xfId="3964" xr:uid="{00000000-0005-0000-0000-0000690F0000}"/>
    <cellStyle name="40% - Accent6 2 3 3" xfId="3965" xr:uid="{00000000-0005-0000-0000-00006A0F0000}"/>
    <cellStyle name="40% - Accent6 2 3 3 2" xfId="3966" xr:uid="{00000000-0005-0000-0000-00006B0F0000}"/>
    <cellStyle name="40% - Accent6 2 3 4" xfId="3967" xr:uid="{00000000-0005-0000-0000-00006C0F0000}"/>
    <cellStyle name="40% - Accent6 2 3 4 2" xfId="3968" xr:uid="{00000000-0005-0000-0000-00006D0F0000}"/>
    <cellStyle name="40% - Accent6 2 3 5" xfId="3969" xr:uid="{00000000-0005-0000-0000-00006E0F0000}"/>
    <cellStyle name="40% - Accent6 2 3 5 2" xfId="3970" xr:uid="{00000000-0005-0000-0000-00006F0F0000}"/>
    <cellStyle name="40% - Accent6 2 3 6" xfId="3971" xr:uid="{00000000-0005-0000-0000-0000700F0000}"/>
    <cellStyle name="40% - Accent6 2 4" xfId="3972" xr:uid="{00000000-0005-0000-0000-0000710F0000}"/>
    <cellStyle name="40% - Accent6 2 4 2" xfId="3973" xr:uid="{00000000-0005-0000-0000-0000720F0000}"/>
    <cellStyle name="40% - Accent6 2 4 2 2" xfId="3974" xr:uid="{00000000-0005-0000-0000-0000730F0000}"/>
    <cellStyle name="40% - Accent6 2 4 3" xfId="3975" xr:uid="{00000000-0005-0000-0000-0000740F0000}"/>
    <cellStyle name="40% - Accent6 2 4 3 2" xfId="3976" xr:uid="{00000000-0005-0000-0000-0000750F0000}"/>
    <cellStyle name="40% - Accent6 2 4 4" xfId="3977" xr:uid="{00000000-0005-0000-0000-0000760F0000}"/>
    <cellStyle name="40% - Accent6 2 4 4 2" xfId="3978" xr:uid="{00000000-0005-0000-0000-0000770F0000}"/>
    <cellStyle name="40% - Accent6 2 4 5" xfId="3979" xr:uid="{00000000-0005-0000-0000-0000780F0000}"/>
    <cellStyle name="40% - Accent6 2 4 5 2" xfId="3980" xr:uid="{00000000-0005-0000-0000-0000790F0000}"/>
    <cellStyle name="40% - Accent6 2 4 6" xfId="3981" xr:uid="{00000000-0005-0000-0000-00007A0F0000}"/>
    <cellStyle name="40% - Accent6 2 5" xfId="3982" xr:uid="{00000000-0005-0000-0000-00007B0F0000}"/>
    <cellStyle name="40% - Accent6 2 5 2" xfId="3983" xr:uid="{00000000-0005-0000-0000-00007C0F0000}"/>
    <cellStyle name="40% - Accent6 2 6" xfId="3984" xr:uid="{00000000-0005-0000-0000-00007D0F0000}"/>
    <cellStyle name="40% - Accent6 2 6 2" xfId="3985" xr:uid="{00000000-0005-0000-0000-00007E0F0000}"/>
    <cellStyle name="40% - Accent6 2 7" xfId="3986" xr:uid="{00000000-0005-0000-0000-00007F0F0000}"/>
    <cellStyle name="40% - Accent6 2 7 2" xfId="3987" xr:uid="{00000000-0005-0000-0000-0000800F0000}"/>
    <cellStyle name="40% - Accent6 2 8" xfId="3988" xr:uid="{00000000-0005-0000-0000-0000810F0000}"/>
    <cellStyle name="40% - Accent6 2 8 2" xfId="3989" xr:uid="{00000000-0005-0000-0000-0000820F0000}"/>
    <cellStyle name="40% - Accent6 2 9" xfId="3990" xr:uid="{00000000-0005-0000-0000-0000830F0000}"/>
    <cellStyle name="40% - Accent6 2 9 2" xfId="3991" xr:uid="{00000000-0005-0000-0000-0000840F0000}"/>
    <cellStyle name="40% - Accent6 20" xfId="3992" xr:uid="{00000000-0005-0000-0000-0000850F0000}"/>
    <cellStyle name="40% - Accent6 20 2" xfId="3993" xr:uid="{00000000-0005-0000-0000-0000860F0000}"/>
    <cellStyle name="40% - Accent6 3" xfId="3994" xr:uid="{00000000-0005-0000-0000-0000870F0000}"/>
    <cellStyle name="40% - Accent6 3 10" xfId="3995" xr:uid="{00000000-0005-0000-0000-0000880F0000}"/>
    <cellStyle name="40% - Accent6 3 10 2" xfId="3996" xr:uid="{00000000-0005-0000-0000-0000890F0000}"/>
    <cellStyle name="40% - Accent6 3 11" xfId="3997" xr:uid="{00000000-0005-0000-0000-00008A0F0000}"/>
    <cellStyle name="40% - Accent6 3 2" xfId="3998" xr:uid="{00000000-0005-0000-0000-00008B0F0000}"/>
    <cellStyle name="40% - Accent6 3 2 10" xfId="3999" xr:uid="{00000000-0005-0000-0000-00008C0F0000}"/>
    <cellStyle name="40% - Accent6 3 2 2" xfId="4000" xr:uid="{00000000-0005-0000-0000-00008D0F0000}"/>
    <cellStyle name="40% - Accent6 3 2 2 2" xfId="4001" xr:uid="{00000000-0005-0000-0000-00008E0F0000}"/>
    <cellStyle name="40% - Accent6 3 2 2 2 2" xfId="4002" xr:uid="{00000000-0005-0000-0000-00008F0F0000}"/>
    <cellStyle name="40% - Accent6 3 2 2 3" xfId="4003" xr:uid="{00000000-0005-0000-0000-0000900F0000}"/>
    <cellStyle name="40% - Accent6 3 2 2 3 2" xfId="4004" xr:uid="{00000000-0005-0000-0000-0000910F0000}"/>
    <cellStyle name="40% - Accent6 3 2 2 4" xfId="4005" xr:uid="{00000000-0005-0000-0000-0000920F0000}"/>
    <cellStyle name="40% - Accent6 3 2 2 4 2" xfId="4006" xr:uid="{00000000-0005-0000-0000-0000930F0000}"/>
    <cellStyle name="40% - Accent6 3 2 2 5" xfId="4007" xr:uid="{00000000-0005-0000-0000-0000940F0000}"/>
    <cellStyle name="40% - Accent6 3 2 2 5 2" xfId="4008" xr:uid="{00000000-0005-0000-0000-0000950F0000}"/>
    <cellStyle name="40% - Accent6 3 2 2 6" xfId="4009" xr:uid="{00000000-0005-0000-0000-0000960F0000}"/>
    <cellStyle name="40% - Accent6 3 2 3" xfId="4010" xr:uid="{00000000-0005-0000-0000-0000970F0000}"/>
    <cellStyle name="40% - Accent6 3 2 3 2" xfId="4011" xr:uid="{00000000-0005-0000-0000-0000980F0000}"/>
    <cellStyle name="40% - Accent6 3 2 3 2 2" xfId="4012" xr:uid="{00000000-0005-0000-0000-0000990F0000}"/>
    <cellStyle name="40% - Accent6 3 2 3 3" xfId="4013" xr:uid="{00000000-0005-0000-0000-00009A0F0000}"/>
    <cellStyle name="40% - Accent6 3 2 3 3 2" xfId="4014" xr:uid="{00000000-0005-0000-0000-00009B0F0000}"/>
    <cellStyle name="40% - Accent6 3 2 3 4" xfId="4015" xr:uid="{00000000-0005-0000-0000-00009C0F0000}"/>
    <cellStyle name="40% - Accent6 3 2 3 4 2" xfId="4016" xr:uid="{00000000-0005-0000-0000-00009D0F0000}"/>
    <cellStyle name="40% - Accent6 3 2 3 5" xfId="4017" xr:uid="{00000000-0005-0000-0000-00009E0F0000}"/>
    <cellStyle name="40% - Accent6 3 2 3 5 2" xfId="4018" xr:uid="{00000000-0005-0000-0000-00009F0F0000}"/>
    <cellStyle name="40% - Accent6 3 2 3 6" xfId="4019" xr:uid="{00000000-0005-0000-0000-0000A00F0000}"/>
    <cellStyle name="40% - Accent6 3 2 4" xfId="4020" xr:uid="{00000000-0005-0000-0000-0000A10F0000}"/>
    <cellStyle name="40% - Accent6 3 2 4 2" xfId="4021" xr:uid="{00000000-0005-0000-0000-0000A20F0000}"/>
    <cellStyle name="40% - Accent6 3 2 5" xfId="4022" xr:uid="{00000000-0005-0000-0000-0000A30F0000}"/>
    <cellStyle name="40% - Accent6 3 2 5 2" xfId="4023" xr:uid="{00000000-0005-0000-0000-0000A40F0000}"/>
    <cellStyle name="40% - Accent6 3 2 6" xfId="4024" xr:uid="{00000000-0005-0000-0000-0000A50F0000}"/>
    <cellStyle name="40% - Accent6 3 2 6 2" xfId="4025" xr:uid="{00000000-0005-0000-0000-0000A60F0000}"/>
    <cellStyle name="40% - Accent6 3 2 7" xfId="4026" xr:uid="{00000000-0005-0000-0000-0000A70F0000}"/>
    <cellStyle name="40% - Accent6 3 2 7 2" xfId="4027" xr:uid="{00000000-0005-0000-0000-0000A80F0000}"/>
    <cellStyle name="40% - Accent6 3 2 8" xfId="4028" xr:uid="{00000000-0005-0000-0000-0000A90F0000}"/>
    <cellStyle name="40% - Accent6 3 2 8 2" xfId="4029" xr:uid="{00000000-0005-0000-0000-0000AA0F0000}"/>
    <cellStyle name="40% - Accent6 3 2 9" xfId="4030" xr:uid="{00000000-0005-0000-0000-0000AB0F0000}"/>
    <cellStyle name="40% - Accent6 3 2 9 2" xfId="4031" xr:uid="{00000000-0005-0000-0000-0000AC0F0000}"/>
    <cellStyle name="40% - Accent6 3 3" xfId="4032" xr:uid="{00000000-0005-0000-0000-0000AD0F0000}"/>
    <cellStyle name="40% - Accent6 3 3 2" xfId="4033" xr:uid="{00000000-0005-0000-0000-0000AE0F0000}"/>
    <cellStyle name="40% - Accent6 3 3 2 2" xfId="4034" xr:uid="{00000000-0005-0000-0000-0000AF0F0000}"/>
    <cellStyle name="40% - Accent6 3 3 3" xfId="4035" xr:uid="{00000000-0005-0000-0000-0000B00F0000}"/>
    <cellStyle name="40% - Accent6 3 3 3 2" xfId="4036" xr:uid="{00000000-0005-0000-0000-0000B10F0000}"/>
    <cellStyle name="40% - Accent6 3 3 4" xfId="4037" xr:uid="{00000000-0005-0000-0000-0000B20F0000}"/>
    <cellStyle name="40% - Accent6 3 3 4 2" xfId="4038" xr:uid="{00000000-0005-0000-0000-0000B30F0000}"/>
    <cellStyle name="40% - Accent6 3 3 5" xfId="4039" xr:uid="{00000000-0005-0000-0000-0000B40F0000}"/>
    <cellStyle name="40% - Accent6 3 3 5 2" xfId="4040" xr:uid="{00000000-0005-0000-0000-0000B50F0000}"/>
    <cellStyle name="40% - Accent6 3 3 6" xfId="4041" xr:uid="{00000000-0005-0000-0000-0000B60F0000}"/>
    <cellStyle name="40% - Accent6 3 4" xfId="4042" xr:uid="{00000000-0005-0000-0000-0000B70F0000}"/>
    <cellStyle name="40% - Accent6 3 4 2" xfId="4043" xr:uid="{00000000-0005-0000-0000-0000B80F0000}"/>
    <cellStyle name="40% - Accent6 3 4 2 2" xfId="4044" xr:uid="{00000000-0005-0000-0000-0000B90F0000}"/>
    <cellStyle name="40% - Accent6 3 4 3" xfId="4045" xr:uid="{00000000-0005-0000-0000-0000BA0F0000}"/>
    <cellStyle name="40% - Accent6 3 4 3 2" xfId="4046" xr:uid="{00000000-0005-0000-0000-0000BB0F0000}"/>
    <cellStyle name="40% - Accent6 3 4 4" xfId="4047" xr:uid="{00000000-0005-0000-0000-0000BC0F0000}"/>
    <cellStyle name="40% - Accent6 3 4 4 2" xfId="4048" xr:uid="{00000000-0005-0000-0000-0000BD0F0000}"/>
    <cellStyle name="40% - Accent6 3 4 5" xfId="4049" xr:uid="{00000000-0005-0000-0000-0000BE0F0000}"/>
    <cellStyle name="40% - Accent6 3 4 5 2" xfId="4050" xr:uid="{00000000-0005-0000-0000-0000BF0F0000}"/>
    <cellStyle name="40% - Accent6 3 4 6" xfId="4051" xr:uid="{00000000-0005-0000-0000-0000C00F0000}"/>
    <cellStyle name="40% - Accent6 3 5" xfId="4052" xr:uid="{00000000-0005-0000-0000-0000C10F0000}"/>
    <cellStyle name="40% - Accent6 3 5 2" xfId="4053" xr:uid="{00000000-0005-0000-0000-0000C20F0000}"/>
    <cellStyle name="40% - Accent6 3 6" xfId="4054" xr:uid="{00000000-0005-0000-0000-0000C30F0000}"/>
    <cellStyle name="40% - Accent6 3 6 2" xfId="4055" xr:uid="{00000000-0005-0000-0000-0000C40F0000}"/>
    <cellStyle name="40% - Accent6 3 7" xfId="4056" xr:uid="{00000000-0005-0000-0000-0000C50F0000}"/>
    <cellStyle name="40% - Accent6 3 7 2" xfId="4057" xr:uid="{00000000-0005-0000-0000-0000C60F0000}"/>
    <cellStyle name="40% - Accent6 3 8" xfId="4058" xr:uid="{00000000-0005-0000-0000-0000C70F0000}"/>
    <cellStyle name="40% - Accent6 3 8 2" xfId="4059" xr:uid="{00000000-0005-0000-0000-0000C80F0000}"/>
    <cellStyle name="40% - Accent6 3 9" xfId="4060" xr:uid="{00000000-0005-0000-0000-0000C90F0000}"/>
    <cellStyle name="40% - Accent6 3 9 2" xfId="4061" xr:uid="{00000000-0005-0000-0000-0000CA0F0000}"/>
    <cellStyle name="40% - Accent6 4" xfId="4062" xr:uid="{00000000-0005-0000-0000-0000CB0F0000}"/>
    <cellStyle name="40% - Accent6 4 10" xfId="4063" xr:uid="{00000000-0005-0000-0000-0000CC0F0000}"/>
    <cellStyle name="40% - Accent6 4 10 2" xfId="4064" xr:uid="{00000000-0005-0000-0000-0000CD0F0000}"/>
    <cellStyle name="40% - Accent6 4 11" xfId="4065" xr:uid="{00000000-0005-0000-0000-0000CE0F0000}"/>
    <cellStyle name="40% - Accent6 4 2" xfId="4066" xr:uid="{00000000-0005-0000-0000-0000CF0F0000}"/>
    <cellStyle name="40% - Accent6 4 2 10" xfId="4067" xr:uid="{00000000-0005-0000-0000-0000D00F0000}"/>
    <cellStyle name="40% - Accent6 4 2 2" xfId="4068" xr:uid="{00000000-0005-0000-0000-0000D10F0000}"/>
    <cellStyle name="40% - Accent6 4 2 2 2" xfId="4069" xr:uid="{00000000-0005-0000-0000-0000D20F0000}"/>
    <cellStyle name="40% - Accent6 4 2 2 2 2" xfId="4070" xr:uid="{00000000-0005-0000-0000-0000D30F0000}"/>
    <cellStyle name="40% - Accent6 4 2 2 3" xfId="4071" xr:uid="{00000000-0005-0000-0000-0000D40F0000}"/>
    <cellStyle name="40% - Accent6 4 2 2 3 2" xfId="4072" xr:uid="{00000000-0005-0000-0000-0000D50F0000}"/>
    <cellStyle name="40% - Accent6 4 2 2 4" xfId="4073" xr:uid="{00000000-0005-0000-0000-0000D60F0000}"/>
    <cellStyle name="40% - Accent6 4 2 2 4 2" xfId="4074" xr:uid="{00000000-0005-0000-0000-0000D70F0000}"/>
    <cellStyle name="40% - Accent6 4 2 2 5" xfId="4075" xr:uid="{00000000-0005-0000-0000-0000D80F0000}"/>
    <cellStyle name="40% - Accent6 4 2 2 5 2" xfId="4076" xr:uid="{00000000-0005-0000-0000-0000D90F0000}"/>
    <cellStyle name="40% - Accent6 4 2 2 6" xfId="4077" xr:uid="{00000000-0005-0000-0000-0000DA0F0000}"/>
    <cellStyle name="40% - Accent6 4 2 3" xfId="4078" xr:uid="{00000000-0005-0000-0000-0000DB0F0000}"/>
    <cellStyle name="40% - Accent6 4 2 3 2" xfId="4079" xr:uid="{00000000-0005-0000-0000-0000DC0F0000}"/>
    <cellStyle name="40% - Accent6 4 2 3 2 2" xfId="4080" xr:uid="{00000000-0005-0000-0000-0000DD0F0000}"/>
    <cellStyle name="40% - Accent6 4 2 3 3" xfId="4081" xr:uid="{00000000-0005-0000-0000-0000DE0F0000}"/>
    <cellStyle name="40% - Accent6 4 2 3 3 2" xfId="4082" xr:uid="{00000000-0005-0000-0000-0000DF0F0000}"/>
    <cellStyle name="40% - Accent6 4 2 3 4" xfId="4083" xr:uid="{00000000-0005-0000-0000-0000E00F0000}"/>
    <cellStyle name="40% - Accent6 4 2 3 4 2" xfId="4084" xr:uid="{00000000-0005-0000-0000-0000E10F0000}"/>
    <cellStyle name="40% - Accent6 4 2 3 5" xfId="4085" xr:uid="{00000000-0005-0000-0000-0000E20F0000}"/>
    <cellStyle name="40% - Accent6 4 2 3 5 2" xfId="4086" xr:uid="{00000000-0005-0000-0000-0000E30F0000}"/>
    <cellStyle name="40% - Accent6 4 2 3 6" xfId="4087" xr:uid="{00000000-0005-0000-0000-0000E40F0000}"/>
    <cellStyle name="40% - Accent6 4 2 4" xfId="4088" xr:uid="{00000000-0005-0000-0000-0000E50F0000}"/>
    <cellStyle name="40% - Accent6 4 2 4 2" xfId="4089" xr:uid="{00000000-0005-0000-0000-0000E60F0000}"/>
    <cellStyle name="40% - Accent6 4 2 5" xfId="4090" xr:uid="{00000000-0005-0000-0000-0000E70F0000}"/>
    <cellStyle name="40% - Accent6 4 2 5 2" xfId="4091" xr:uid="{00000000-0005-0000-0000-0000E80F0000}"/>
    <cellStyle name="40% - Accent6 4 2 6" xfId="4092" xr:uid="{00000000-0005-0000-0000-0000E90F0000}"/>
    <cellStyle name="40% - Accent6 4 2 6 2" xfId="4093" xr:uid="{00000000-0005-0000-0000-0000EA0F0000}"/>
    <cellStyle name="40% - Accent6 4 2 7" xfId="4094" xr:uid="{00000000-0005-0000-0000-0000EB0F0000}"/>
    <cellStyle name="40% - Accent6 4 2 7 2" xfId="4095" xr:uid="{00000000-0005-0000-0000-0000EC0F0000}"/>
    <cellStyle name="40% - Accent6 4 2 8" xfId="4096" xr:uid="{00000000-0005-0000-0000-0000ED0F0000}"/>
    <cellStyle name="40% - Accent6 4 2 8 2" xfId="4097" xr:uid="{00000000-0005-0000-0000-0000EE0F0000}"/>
    <cellStyle name="40% - Accent6 4 2 9" xfId="4098" xr:uid="{00000000-0005-0000-0000-0000EF0F0000}"/>
    <cellStyle name="40% - Accent6 4 2 9 2" xfId="4099" xr:uid="{00000000-0005-0000-0000-0000F00F0000}"/>
    <cellStyle name="40% - Accent6 4 3" xfId="4100" xr:uid="{00000000-0005-0000-0000-0000F10F0000}"/>
    <cellStyle name="40% - Accent6 4 3 2" xfId="4101" xr:uid="{00000000-0005-0000-0000-0000F20F0000}"/>
    <cellStyle name="40% - Accent6 4 3 2 2" xfId="4102" xr:uid="{00000000-0005-0000-0000-0000F30F0000}"/>
    <cellStyle name="40% - Accent6 4 3 3" xfId="4103" xr:uid="{00000000-0005-0000-0000-0000F40F0000}"/>
    <cellStyle name="40% - Accent6 4 3 3 2" xfId="4104" xr:uid="{00000000-0005-0000-0000-0000F50F0000}"/>
    <cellStyle name="40% - Accent6 4 3 4" xfId="4105" xr:uid="{00000000-0005-0000-0000-0000F60F0000}"/>
    <cellStyle name="40% - Accent6 4 3 4 2" xfId="4106" xr:uid="{00000000-0005-0000-0000-0000F70F0000}"/>
    <cellStyle name="40% - Accent6 4 3 5" xfId="4107" xr:uid="{00000000-0005-0000-0000-0000F80F0000}"/>
    <cellStyle name="40% - Accent6 4 3 5 2" xfId="4108" xr:uid="{00000000-0005-0000-0000-0000F90F0000}"/>
    <cellStyle name="40% - Accent6 4 3 6" xfId="4109" xr:uid="{00000000-0005-0000-0000-0000FA0F0000}"/>
    <cellStyle name="40% - Accent6 4 4" xfId="4110" xr:uid="{00000000-0005-0000-0000-0000FB0F0000}"/>
    <cellStyle name="40% - Accent6 4 4 2" xfId="4111" xr:uid="{00000000-0005-0000-0000-0000FC0F0000}"/>
    <cellStyle name="40% - Accent6 4 4 2 2" xfId="4112" xr:uid="{00000000-0005-0000-0000-0000FD0F0000}"/>
    <cellStyle name="40% - Accent6 4 4 3" xfId="4113" xr:uid="{00000000-0005-0000-0000-0000FE0F0000}"/>
    <cellStyle name="40% - Accent6 4 4 3 2" xfId="4114" xr:uid="{00000000-0005-0000-0000-0000FF0F0000}"/>
    <cellStyle name="40% - Accent6 4 4 4" xfId="4115" xr:uid="{00000000-0005-0000-0000-000000100000}"/>
    <cellStyle name="40% - Accent6 4 4 4 2" xfId="4116" xr:uid="{00000000-0005-0000-0000-000001100000}"/>
    <cellStyle name="40% - Accent6 4 4 5" xfId="4117" xr:uid="{00000000-0005-0000-0000-000002100000}"/>
    <cellStyle name="40% - Accent6 4 4 5 2" xfId="4118" xr:uid="{00000000-0005-0000-0000-000003100000}"/>
    <cellStyle name="40% - Accent6 4 4 6" xfId="4119" xr:uid="{00000000-0005-0000-0000-000004100000}"/>
    <cellStyle name="40% - Accent6 4 5" xfId="4120" xr:uid="{00000000-0005-0000-0000-000005100000}"/>
    <cellStyle name="40% - Accent6 4 5 2" xfId="4121" xr:uid="{00000000-0005-0000-0000-000006100000}"/>
    <cellStyle name="40% - Accent6 4 6" xfId="4122" xr:uid="{00000000-0005-0000-0000-000007100000}"/>
    <cellStyle name="40% - Accent6 4 6 2" xfId="4123" xr:uid="{00000000-0005-0000-0000-000008100000}"/>
    <cellStyle name="40% - Accent6 4 7" xfId="4124" xr:uid="{00000000-0005-0000-0000-000009100000}"/>
    <cellStyle name="40% - Accent6 4 7 2" xfId="4125" xr:uid="{00000000-0005-0000-0000-00000A100000}"/>
    <cellStyle name="40% - Accent6 4 8" xfId="4126" xr:uid="{00000000-0005-0000-0000-00000B100000}"/>
    <cellStyle name="40% - Accent6 4 8 2" xfId="4127" xr:uid="{00000000-0005-0000-0000-00000C100000}"/>
    <cellStyle name="40% - Accent6 4 9" xfId="4128" xr:uid="{00000000-0005-0000-0000-00000D100000}"/>
    <cellStyle name="40% - Accent6 4 9 2" xfId="4129" xr:uid="{00000000-0005-0000-0000-00000E100000}"/>
    <cellStyle name="40% - Accent6 5" xfId="4130" xr:uid="{00000000-0005-0000-0000-00000F100000}"/>
    <cellStyle name="40% - Accent6 5 10" xfId="4131" xr:uid="{00000000-0005-0000-0000-000010100000}"/>
    <cellStyle name="40% - Accent6 5 2" xfId="4132" xr:uid="{00000000-0005-0000-0000-000011100000}"/>
    <cellStyle name="40% - Accent6 5 2 2" xfId="4133" xr:uid="{00000000-0005-0000-0000-000012100000}"/>
    <cellStyle name="40% - Accent6 5 2 2 2" xfId="4134" xr:uid="{00000000-0005-0000-0000-000013100000}"/>
    <cellStyle name="40% - Accent6 5 2 3" xfId="4135" xr:uid="{00000000-0005-0000-0000-000014100000}"/>
    <cellStyle name="40% - Accent6 5 2 3 2" xfId="4136" xr:uid="{00000000-0005-0000-0000-000015100000}"/>
    <cellStyle name="40% - Accent6 5 2 4" xfId="4137" xr:uid="{00000000-0005-0000-0000-000016100000}"/>
    <cellStyle name="40% - Accent6 5 2 4 2" xfId="4138" xr:uid="{00000000-0005-0000-0000-000017100000}"/>
    <cellStyle name="40% - Accent6 5 2 5" xfId="4139" xr:uid="{00000000-0005-0000-0000-000018100000}"/>
    <cellStyle name="40% - Accent6 5 2 5 2" xfId="4140" xr:uid="{00000000-0005-0000-0000-000019100000}"/>
    <cellStyle name="40% - Accent6 5 2 6" xfId="4141" xr:uid="{00000000-0005-0000-0000-00001A100000}"/>
    <cellStyle name="40% - Accent6 5 3" xfId="4142" xr:uid="{00000000-0005-0000-0000-00001B100000}"/>
    <cellStyle name="40% - Accent6 5 3 2" xfId="4143" xr:uid="{00000000-0005-0000-0000-00001C100000}"/>
    <cellStyle name="40% - Accent6 5 3 2 2" xfId="4144" xr:uid="{00000000-0005-0000-0000-00001D100000}"/>
    <cellStyle name="40% - Accent6 5 3 3" xfId="4145" xr:uid="{00000000-0005-0000-0000-00001E100000}"/>
    <cellStyle name="40% - Accent6 5 3 3 2" xfId="4146" xr:uid="{00000000-0005-0000-0000-00001F100000}"/>
    <cellStyle name="40% - Accent6 5 3 4" xfId="4147" xr:uid="{00000000-0005-0000-0000-000020100000}"/>
    <cellStyle name="40% - Accent6 5 3 4 2" xfId="4148" xr:uid="{00000000-0005-0000-0000-000021100000}"/>
    <cellStyle name="40% - Accent6 5 3 5" xfId="4149" xr:uid="{00000000-0005-0000-0000-000022100000}"/>
    <cellStyle name="40% - Accent6 5 3 5 2" xfId="4150" xr:uid="{00000000-0005-0000-0000-000023100000}"/>
    <cellStyle name="40% - Accent6 5 3 6" xfId="4151" xr:uid="{00000000-0005-0000-0000-000024100000}"/>
    <cellStyle name="40% - Accent6 5 4" xfId="4152" xr:uid="{00000000-0005-0000-0000-000025100000}"/>
    <cellStyle name="40% - Accent6 5 4 2" xfId="4153" xr:uid="{00000000-0005-0000-0000-000026100000}"/>
    <cellStyle name="40% - Accent6 5 5" xfId="4154" xr:uid="{00000000-0005-0000-0000-000027100000}"/>
    <cellStyle name="40% - Accent6 5 5 2" xfId="4155" xr:uid="{00000000-0005-0000-0000-000028100000}"/>
    <cellStyle name="40% - Accent6 5 6" xfId="4156" xr:uid="{00000000-0005-0000-0000-000029100000}"/>
    <cellStyle name="40% - Accent6 5 6 2" xfId="4157" xr:uid="{00000000-0005-0000-0000-00002A100000}"/>
    <cellStyle name="40% - Accent6 5 7" xfId="4158" xr:uid="{00000000-0005-0000-0000-00002B100000}"/>
    <cellStyle name="40% - Accent6 5 7 2" xfId="4159" xr:uid="{00000000-0005-0000-0000-00002C100000}"/>
    <cellStyle name="40% - Accent6 5 8" xfId="4160" xr:uid="{00000000-0005-0000-0000-00002D100000}"/>
    <cellStyle name="40% - Accent6 5 8 2" xfId="4161" xr:uid="{00000000-0005-0000-0000-00002E100000}"/>
    <cellStyle name="40% - Accent6 5 9" xfId="4162" xr:uid="{00000000-0005-0000-0000-00002F100000}"/>
    <cellStyle name="40% - Accent6 5 9 2" xfId="4163" xr:uid="{00000000-0005-0000-0000-000030100000}"/>
    <cellStyle name="40% - Accent6 6" xfId="4164" xr:uid="{00000000-0005-0000-0000-000031100000}"/>
    <cellStyle name="40% - Accent6 6 10" xfId="4165" xr:uid="{00000000-0005-0000-0000-000032100000}"/>
    <cellStyle name="40% - Accent6 6 2" xfId="4166" xr:uid="{00000000-0005-0000-0000-000033100000}"/>
    <cellStyle name="40% - Accent6 6 2 2" xfId="4167" xr:uid="{00000000-0005-0000-0000-000034100000}"/>
    <cellStyle name="40% - Accent6 6 2 2 2" xfId="4168" xr:uid="{00000000-0005-0000-0000-000035100000}"/>
    <cellStyle name="40% - Accent6 6 2 3" xfId="4169" xr:uid="{00000000-0005-0000-0000-000036100000}"/>
    <cellStyle name="40% - Accent6 6 2 3 2" xfId="4170" xr:uid="{00000000-0005-0000-0000-000037100000}"/>
    <cellStyle name="40% - Accent6 6 2 4" xfId="4171" xr:uid="{00000000-0005-0000-0000-000038100000}"/>
    <cellStyle name="40% - Accent6 6 2 4 2" xfId="4172" xr:uid="{00000000-0005-0000-0000-000039100000}"/>
    <cellStyle name="40% - Accent6 6 2 5" xfId="4173" xr:uid="{00000000-0005-0000-0000-00003A100000}"/>
    <cellStyle name="40% - Accent6 6 2 5 2" xfId="4174" xr:uid="{00000000-0005-0000-0000-00003B100000}"/>
    <cellStyle name="40% - Accent6 6 2 6" xfId="4175" xr:uid="{00000000-0005-0000-0000-00003C100000}"/>
    <cellStyle name="40% - Accent6 6 3" xfId="4176" xr:uid="{00000000-0005-0000-0000-00003D100000}"/>
    <cellStyle name="40% - Accent6 6 3 2" xfId="4177" xr:uid="{00000000-0005-0000-0000-00003E100000}"/>
    <cellStyle name="40% - Accent6 6 3 2 2" xfId="4178" xr:uid="{00000000-0005-0000-0000-00003F100000}"/>
    <cellStyle name="40% - Accent6 6 3 3" xfId="4179" xr:uid="{00000000-0005-0000-0000-000040100000}"/>
    <cellStyle name="40% - Accent6 6 3 3 2" xfId="4180" xr:uid="{00000000-0005-0000-0000-000041100000}"/>
    <cellStyle name="40% - Accent6 6 3 4" xfId="4181" xr:uid="{00000000-0005-0000-0000-000042100000}"/>
    <cellStyle name="40% - Accent6 6 3 4 2" xfId="4182" xr:uid="{00000000-0005-0000-0000-000043100000}"/>
    <cellStyle name="40% - Accent6 6 3 5" xfId="4183" xr:uid="{00000000-0005-0000-0000-000044100000}"/>
    <cellStyle name="40% - Accent6 6 3 5 2" xfId="4184" xr:uid="{00000000-0005-0000-0000-000045100000}"/>
    <cellStyle name="40% - Accent6 6 3 6" xfId="4185" xr:uid="{00000000-0005-0000-0000-000046100000}"/>
    <cellStyle name="40% - Accent6 6 4" xfId="4186" xr:uid="{00000000-0005-0000-0000-000047100000}"/>
    <cellStyle name="40% - Accent6 6 4 2" xfId="4187" xr:uid="{00000000-0005-0000-0000-000048100000}"/>
    <cellStyle name="40% - Accent6 6 5" xfId="4188" xr:uid="{00000000-0005-0000-0000-000049100000}"/>
    <cellStyle name="40% - Accent6 6 5 2" xfId="4189" xr:uid="{00000000-0005-0000-0000-00004A100000}"/>
    <cellStyle name="40% - Accent6 6 6" xfId="4190" xr:uid="{00000000-0005-0000-0000-00004B100000}"/>
    <cellStyle name="40% - Accent6 6 6 2" xfId="4191" xr:uid="{00000000-0005-0000-0000-00004C100000}"/>
    <cellStyle name="40% - Accent6 6 7" xfId="4192" xr:uid="{00000000-0005-0000-0000-00004D100000}"/>
    <cellStyle name="40% - Accent6 6 7 2" xfId="4193" xr:uid="{00000000-0005-0000-0000-00004E100000}"/>
    <cellStyle name="40% - Accent6 6 8" xfId="4194" xr:uid="{00000000-0005-0000-0000-00004F100000}"/>
    <cellStyle name="40% - Accent6 6 8 2" xfId="4195" xr:uid="{00000000-0005-0000-0000-000050100000}"/>
    <cellStyle name="40% - Accent6 6 9" xfId="4196" xr:uid="{00000000-0005-0000-0000-000051100000}"/>
    <cellStyle name="40% - Accent6 6 9 2" xfId="4197" xr:uid="{00000000-0005-0000-0000-000052100000}"/>
    <cellStyle name="40% - Accent6 7" xfId="4198" xr:uid="{00000000-0005-0000-0000-000053100000}"/>
    <cellStyle name="40% - Accent6 7 10" xfId="4199" xr:uid="{00000000-0005-0000-0000-000054100000}"/>
    <cellStyle name="40% - Accent6 7 2" xfId="4200" xr:uid="{00000000-0005-0000-0000-000055100000}"/>
    <cellStyle name="40% - Accent6 7 2 2" xfId="4201" xr:uid="{00000000-0005-0000-0000-000056100000}"/>
    <cellStyle name="40% - Accent6 7 2 2 2" xfId="4202" xr:uid="{00000000-0005-0000-0000-000057100000}"/>
    <cellStyle name="40% - Accent6 7 2 3" xfId="4203" xr:uid="{00000000-0005-0000-0000-000058100000}"/>
    <cellStyle name="40% - Accent6 7 2 3 2" xfId="4204" xr:uid="{00000000-0005-0000-0000-000059100000}"/>
    <cellStyle name="40% - Accent6 7 2 4" xfId="4205" xr:uid="{00000000-0005-0000-0000-00005A100000}"/>
    <cellStyle name="40% - Accent6 7 2 4 2" xfId="4206" xr:uid="{00000000-0005-0000-0000-00005B100000}"/>
    <cellStyle name="40% - Accent6 7 2 5" xfId="4207" xr:uid="{00000000-0005-0000-0000-00005C100000}"/>
    <cellStyle name="40% - Accent6 7 2 5 2" xfId="4208" xr:uid="{00000000-0005-0000-0000-00005D100000}"/>
    <cellStyle name="40% - Accent6 7 2 6" xfId="4209" xr:uid="{00000000-0005-0000-0000-00005E100000}"/>
    <cellStyle name="40% - Accent6 7 3" xfId="4210" xr:uid="{00000000-0005-0000-0000-00005F100000}"/>
    <cellStyle name="40% - Accent6 7 3 2" xfId="4211" xr:uid="{00000000-0005-0000-0000-000060100000}"/>
    <cellStyle name="40% - Accent6 7 3 2 2" xfId="4212" xr:uid="{00000000-0005-0000-0000-000061100000}"/>
    <cellStyle name="40% - Accent6 7 3 3" xfId="4213" xr:uid="{00000000-0005-0000-0000-000062100000}"/>
    <cellStyle name="40% - Accent6 7 3 3 2" xfId="4214" xr:uid="{00000000-0005-0000-0000-000063100000}"/>
    <cellStyle name="40% - Accent6 7 3 4" xfId="4215" xr:uid="{00000000-0005-0000-0000-000064100000}"/>
    <cellStyle name="40% - Accent6 7 3 4 2" xfId="4216" xr:uid="{00000000-0005-0000-0000-000065100000}"/>
    <cellStyle name="40% - Accent6 7 3 5" xfId="4217" xr:uid="{00000000-0005-0000-0000-000066100000}"/>
    <cellStyle name="40% - Accent6 7 3 5 2" xfId="4218" xr:uid="{00000000-0005-0000-0000-000067100000}"/>
    <cellStyle name="40% - Accent6 7 3 6" xfId="4219" xr:uid="{00000000-0005-0000-0000-000068100000}"/>
    <cellStyle name="40% - Accent6 7 4" xfId="4220" xr:uid="{00000000-0005-0000-0000-000069100000}"/>
    <cellStyle name="40% - Accent6 7 4 2" xfId="4221" xr:uid="{00000000-0005-0000-0000-00006A100000}"/>
    <cellStyle name="40% - Accent6 7 5" xfId="4222" xr:uid="{00000000-0005-0000-0000-00006B100000}"/>
    <cellStyle name="40% - Accent6 7 5 2" xfId="4223" xr:uid="{00000000-0005-0000-0000-00006C100000}"/>
    <cellStyle name="40% - Accent6 7 6" xfId="4224" xr:uid="{00000000-0005-0000-0000-00006D100000}"/>
    <cellStyle name="40% - Accent6 7 6 2" xfId="4225" xr:uid="{00000000-0005-0000-0000-00006E100000}"/>
    <cellStyle name="40% - Accent6 7 7" xfId="4226" xr:uid="{00000000-0005-0000-0000-00006F100000}"/>
    <cellStyle name="40% - Accent6 7 7 2" xfId="4227" xr:uid="{00000000-0005-0000-0000-000070100000}"/>
    <cellStyle name="40% - Accent6 7 8" xfId="4228" xr:uid="{00000000-0005-0000-0000-000071100000}"/>
    <cellStyle name="40% - Accent6 7 8 2" xfId="4229" xr:uid="{00000000-0005-0000-0000-000072100000}"/>
    <cellStyle name="40% - Accent6 7 9" xfId="4230" xr:uid="{00000000-0005-0000-0000-000073100000}"/>
    <cellStyle name="40% - Accent6 7 9 2" xfId="4231" xr:uid="{00000000-0005-0000-0000-000074100000}"/>
    <cellStyle name="40% - Accent6 8" xfId="4232" xr:uid="{00000000-0005-0000-0000-000075100000}"/>
    <cellStyle name="40% - Accent6 8 2" xfId="4233" xr:uid="{00000000-0005-0000-0000-000076100000}"/>
    <cellStyle name="40% - Accent6 8 2 2" xfId="4234" xr:uid="{00000000-0005-0000-0000-000077100000}"/>
    <cellStyle name="40% - Accent6 8 3" xfId="4235" xr:uid="{00000000-0005-0000-0000-000078100000}"/>
    <cellStyle name="40% - Accent6 8 3 2" xfId="4236" xr:uid="{00000000-0005-0000-0000-000079100000}"/>
    <cellStyle name="40% - Accent6 8 4" xfId="4237" xr:uid="{00000000-0005-0000-0000-00007A100000}"/>
    <cellStyle name="40% - Accent6 8 4 2" xfId="4238" xr:uid="{00000000-0005-0000-0000-00007B100000}"/>
    <cellStyle name="40% - Accent6 8 5" xfId="4239" xr:uid="{00000000-0005-0000-0000-00007C100000}"/>
    <cellStyle name="40% - Accent6 8 5 2" xfId="4240" xr:uid="{00000000-0005-0000-0000-00007D100000}"/>
    <cellStyle name="40% - Accent6 8 6" xfId="4241" xr:uid="{00000000-0005-0000-0000-00007E100000}"/>
    <cellStyle name="40% - Accent6 9" xfId="4242" xr:uid="{00000000-0005-0000-0000-00007F100000}"/>
    <cellStyle name="40% - Accent6 9 2" xfId="4243" xr:uid="{00000000-0005-0000-0000-000080100000}"/>
    <cellStyle name="40% - Accent6 9 2 2" xfId="4244" xr:uid="{00000000-0005-0000-0000-000081100000}"/>
    <cellStyle name="40% - Accent6 9 3" xfId="4245" xr:uid="{00000000-0005-0000-0000-000082100000}"/>
    <cellStyle name="40% - Accent6 9 3 2" xfId="4246" xr:uid="{00000000-0005-0000-0000-000083100000}"/>
    <cellStyle name="40% - Accent6 9 4" xfId="4247" xr:uid="{00000000-0005-0000-0000-000084100000}"/>
    <cellStyle name="40% - Accent6 9 4 2" xfId="4248" xr:uid="{00000000-0005-0000-0000-000085100000}"/>
    <cellStyle name="40% - Accent6 9 5" xfId="4249" xr:uid="{00000000-0005-0000-0000-000086100000}"/>
    <cellStyle name="40% - Accent6 9 5 2" xfId="4250" xr:uid="{00000000-0005-0000-0000-000087100000}"/>
    <cellStyle name="40% - Accent6 9 6" xfId="4251" xr:uid="{00000000-0005-0000-0000-000088100000}"/>
    <cellStyle name="Calculation in Model" xfId="4252" xr:uid="{00000000-0005-0000-0000-000089100000}"/>
    <cellStyle name="Comma" xfId="1" builtinId="3"/>
    <cellStyle name="Comma 10" xfId="4253" xr:uid="{00000000-0005-0000-0000-00008B100000}"/>
    <cellStyle name="Comma 10 2" xfId="4254" xr:uid="{00000000-0005-0000-0000-00008C100000}"/>
    <cellStyle name="Comma 11" xfId="4255" xr:uid="{00000000-0005-0000-0000-00008D100000}"/>
    <cellStyle name="Comma 11 2" xfId="4256" xr:uid="{00000000-0005-0000-0000-00008E100000}"/>
    <cellStyle name="Comma 12" xfId="4257" xr:uid="{00000000-0005-0000-0000-00008F100000}"/>
    <cellStyle name="Comma 12 2" xfId="4258" xr:uid="{00000000-0005-0000-0000-000090100000}"/>
    <cellStyle name="Comma 13" xfId="4259" xr:uid="{00000000-0005-0000-0000-000091100000}"/>
    <cellStyle name="Comma 13 2" xfId="4260" xr:uid="{00000000-0005-0000-0000-000092100000}"/>
    <cellStyle name="Comma 14" xfId="5569" xr:uid="{00000000-0005-0000-0000-000093100000}"/>
    <cellStyle name="Comma 15" xfId="5567" xr:uid="{00000000-0005-0000-0000-000094100000}"/>
    <cellStyle name="Comma 2" xfId="4" xr:uid="{00000000-0005-0000-0000-000095100000}"/>
    <cellStyle name="Comma 2 10" xfId="4262" xr:uid="{00000000-0005-0000-0000-000096100000}"/>
    <cellStyle name="Comma 2 11" xfId="4263" xr:uid="{00000000-0005-0000-0000-000097100000}"/>
    <cellStyle name="Comma 2 12" xfId="4261" xr:uid="{00000000-0005-0000-0000-000098100000}"/>
    <cellStyle name="Comma 2 2" xfId="8" xr:uid="{00000000-0005-0000-0000-000099100000}"/>
    <cellStyle name="Comma 2 2 2" xfId="4265" xr:uid="{00000000-0005-0000-0000-00009A100000}"/>
    <cellStyle name="Comma 2 2 2 2" xfId="4266" xr:uid="{00000000-0005-0000-0000-00009B100000}"/>
    <cellStyle name="Comma 2 2 2 2 2" xfId="4267" xr:uid="{00000000-0005-0000-0000-00009C100000}"/>
    <cellStyle name="Comma 2 2 2 3" xfId="4268" xr:uid="{00000000-0005-0000-0000-00009D100000}"/>
    <cellStyle name="Comma 2 2 2 3 2" xfId="4269" xr:uid="{00000000-0005-0000-0000-00009E100000}"/>
    <cellStyle name="Comma 2 2 2 4" xfId="4270" xr:uid="{00000000-0005-0000-0000-00009F100000}"/>
    <cellStyle name="Comma 2 2 2 4 2" xfId="4271" xr:uid="{00000000-0005-0000-0000-0000A0100000}"/>
    <cellStyle name="Comma 2 2 2 5" xfId="4272" xr:uid="{00000000-0005-0000-0000-0000A1100000}"/>
    <cellStyle name="Comma 2 2 3" xfId="4273" xr:uid="{00000000-0005-0000-0000-0000A2100000}"/>
    <cellStyle name="Comma 2 2 3 2" xfId="4274" xr:uid="{00000000-0005-0000-0000-0000A3100000}"/>
    <cellStyle name="Comma 2 2 4" xfId="4275" xr:uid="{00000000-0005-0000-0000-0000A4100000}"/>
    <cellStyle name="Comma 2 2 5" xfId="4276" xr:uid="{00000000-0005-0000-0000-0000A5100000}"/>
    <cellStyle name="Comma 2 2 5 2" xfId="4277" xr:uid="{00000000-0005-0000-0000-0000A6100000}"/>
    <cellStyle name="Comma 2 2 6" xfId="4278" xr:uid="{00000000-0005-0000-0000-0000A7100000}"/>
    <cellStyle name="Comma 2 2 7" xfId="4279" xr:uid="{00000000-0005-0000-0000-0000A8100000}"/>
    <cellStyle name="Comma 2 2 8" xfId="4264" xr:uid="{00000000-0005-0000-0000-0000A9100000}"/>
    <cellStyle name="Comma 2 3" xfId="15" xr:uid="{00000000-0005-0000-0000-0000AA100000}"/>
    <cellStyle name="Comma 2 3 2" xfId="4281" xr:uid="{00000000-0005-0000-0000-0000AB100000}"/>
    <cellStyle name="Comma 2 3 2 2" xfId="4282" xr:uid="{00000000-0005-0000-0000-0000AC100000}"/>
    <cellStyle name="Comma 2 3 2 2 2" xfId="4283" xr:uid="{00000000-0005-0000-0000-0000AD100000}"/>
    <cellStyle name="Comma 2 3 2 3" xfId="4284" xr:uid="{00000000-0005-0000-0000-0000AE100000}"/>
    <cellStyle name="Comma 2 3 2 3 2" xfId="4285" xr:uid="{00000000-0005-0000-0000-0000AF100000}"/>
    <cellStyle name="Comma 2 3 2 4" xfId="4286" xr:uid="{00000000-0005-0000-0000-0000B0100000}"/>
    <cellStyle name="Comma 2 3 2 4 2" xfId="4287" xr:uid="{00000000-0005-0000-0000-0000B1100000}"/>
    <cellStyle name="Comma 2 3 2 5" xfId="4288" xr:uid="{00000000-0005-0000-0000-0000B2100000}"/>
    <cellStyle name="Comma 2 3 3" xfId="4289" xr:uid="{00000000-0005-0000-0000-0000B3100000}"/>
    <cellStyle name="Comma 2 3 3 2" xfId="4290" xr:uid="{00000000-0005-0000-0000-0000B4100000}"/>
    <cellStyle name="Comma 2 3 4" xfId="4291" xr:uid="{00000000-0005-0000-0000-0000B5100000}"/>
    <cellStyle name="Comma 2 3 5" xfId="4292" xr:uid="{00000000-0005-0000-0000-0000B6100000}"/>
    <cellStyle name="Comma 2 3 5 2" xfId="4293" xr:uid="{00000000-0005-0000-0000-0000B7100000}"/>
    <cellStyle name="Comma 2 3 6" xfId="4294" xr:uid="{00000000-0005-0000-0000-0000B8100000}"/>
    <cellStyle name="Comma 2 3 7" xfId="4295" xr:uid="{00000000-0005-0000-0000-0000B9100000}"/>
    <cellStyle name="Comma 2 3 8" xfId="4280" xr:uid="{00000000-0005-0000-0000-0000BA100000}"/>
    <cellStyle name="Comma 2 4" xfId="4296" xr:uid="{00000000-0005-0000-0000-0000BB100000}"/>
    <cellStyle name="Comma 2 4 2" xfId="4297" xr:uid="{00000000-0005-0000-0000-0000BC100000}"/>
    <cellStyle name="Comma 2 4 2 2" xfId="4298" xr:uid="{00000000-0005-0000-0000-0000BD100000}"/>
    <cellStyle name="Comma 2 4 3" xfId="4299" xr:uid="{00000000-0005-0000-0000-0000BE100000}"/>
    <cellStyle name="Comma 2 4 3 2" xfId="4300" xr:uid="{00000000-0005-0000-0000-0000BF100000}"/>
    <cellStyle name="Comma 2 4 4" xfId="4301" xr:uid="{00000000-0005-0000-0000-0000C0100000}"/>
    <cellStyle name="Comma 2 4 4 2" xfId="4302" xr:uid="{00000000-0005-0000-0000-0000C1100000}"/>
    <cellStyle name="Comma 2 4 5" xfId="4303" xr:uid="{00000000-0005-0000-0000-0000C2100000}"/>
    <cellStyle name="Comma 2 4 5 2" xfId="4304" xr:uid="{00000000-0005-0000-0000-0000C3100000}"/>
    <cellStyle name="Comma 2 4 6" xfId="4305" xr:uid="{00000000-0005-0000-0000-0000C4100000}"/>
    <cellStyle name="Comma 2 4 6 2" xfId="4306" xr:uid="{00000000-0005-0000-0000-0000C5100000}"/>
    <cellStyle name="Comma 2 4 7" xfId="4307" xr:uid="{00000000-0005-0000-0000-0000C6100000}"/>
    <cellStyle name="Comma 2 4 7 2" xfId="4308" xr:uid="{00000000-0005-0000-0000-0000C7100000}"/>
    <cellStyle name="Comma 2 4 8" xfId="4309" xr:uid="{00000000-0005-0000-0000-0000C8100000}"/>
    <cellStyle name="Comma 2 5" xfId="4310" xr:uid="{00000000-0005-0000-0000-0000C9100000}"/>
    <cellStyle name="Comma 2 5 2" xfId="4311" xr:uid="{00000000-0005-0000-0000-0000CA100000}"/>
    <cellStyle name="Comma 2 5 2 2" xfId="4312" xr:uid="{00000000-0005-0000-0000-0000CB100000}"/>
    <cellStyle name="Comma 2 5 3" xfId="4313" xr:uid="{00000000-0005-0000-0000-0000CC100000}"/>
    <cellStyle name="Comma 2 5 3 2" xfId="4314" xr:uid="{00000000-0005-0000-0000-0000CD100000}"/>
    <cellStyle name="Comma 2 5 4" xfId="4315" xr:uid="{00000000-0005-0000-0000-0000CE100000}"/>
    <cellStyle name="Comma 2 5 4 2" xfId="4316" xr:uid="{00000000-0005-0000-0000-0000CF100000}"/>
    <cellStyle name="Comma 2 5 5" xfId="4317" xr:uid="{00000000-0005-0000-0000-0000D0100000}"/>
    <cellStyle name="Comma 2 5 5 2" xfId="4318" xr:uid="{00000000-0005-0000-0000-0000D1100000}"/>
    <cellStyle name="Comma 2 5 6" xfId="4319" xr:uid="{00000000-0005-0000-0000-0000D2100000}"/>
    <cellStyle name="Comma 2 5 6 2" xfId="4320" xr:uid="{00000000-0005-0000-0000-0000D3100000}"/>
    <cellStyle name="Comma 2 5 7" xfId="4321" xr:uid="{00000000-0005-0000-0000-0000D4100000}"/>
    <cellStyle name="Comma 2 5 7 2" xfId="4322" xr:uid="{00000000-0005-0000-0000-0000D5100000}"/>
    <cellStyle name="Comma 2 5 8" xfId="4323" xr:uid="{00000000-0005-0000-0000-0000D6100000}"/>
    <cellStyle name="Comma 2 6" xfId="4324" xr:uid="{00000000-0005-0000-0000-0000D7100000}"/>
    <cellStyle name="Comma 2 6 2" xfId="4325" xr:uid="{00000000-0005-0000-0000-0000D8100000}"/>
    <cellStyle name="Comma 2 6 2 2" xfId="4326" xr:uid="{00000000-0005-0000-0000-0000D9100000}"/>
    <cellStyle name="Comma 2 6 3" xfId="4327" xr:uid="{00000000-0005-0000-0000-0000DA100000}"/>
    <cellStyle name="Comma 2 6 3 2" xfId="4328" xr:uid="{00000000-0005-0000-0000-0000DB100000}"/>
    <cellStyle name="Comma 2 6 4" xfId="4329" xr:uid="{00000000-0005-0000-0000-0000DC100000}"/>
    <cellStyle name="Comma 2 6 4 2" xfId="4330" xr:uid="{00000000-0005-0000-0000-0000DD100000}"/>
    <cellStyle name="Comma 2 6 5" xfId="4331" xr:uid="{00000000-0005-0000-0000-0000DE100000}"/>
    <cellStyle name="Comma 2 7" xfId="4332" xr:uid="{00000000-0005-0000-0000-0000DF100000}"/>
    <cellStyle name="Comma 2 7 2" xfId="4333" xr:uid="{00000000-0005-0000-0000-0000E0100000}"/>
    <cellStyle name="Comma 2 8" xfId="4334" xr:uid="{00000000-0005-0000-0000-0000E1100000}"/>
    <cellStyle name="Comma 2 9" xfId="4335" xr:uid="{00000000-0005-0000-0000-0000E2100000}"/>
    <cellStyle name="Comma 2 9 2" xfId="4336" xr:uid="{00000000-0005-0000-0000-0000E3100000}"/>
    <cellStyle name="Comma 3" xfId="11" xr:uid="{00000000-0005-0000-0000-0000E4100000}"/>
    <cellStyle name="Comma 3 2" xfId="4338" xr:uid="{00000000-0005-0000-0000-0000E5100000}"/>
    <cellStyle name="Comma 3 2 2" xfId="4339" xr:uid="{00000000-0005-0000-0000-0000E6100000}"/>
    <cellStyle name="Comma 3 2 2 2" xfId="4340" xr:uid="{00000000-0005-0000-0000-0000E7100000}"/>
    <cellStyle name="Comma 3 2 2 3" xfId="4341" xr:uid="{00000000-0005-0000-0000-0000E8100000}"/>
    <cellStyle name="Comma 3 2 3" xfId="4342" xr:uid="{00000000-0005-0000-0000-0000E9100000}"/>
    <cellStyle name="Comma 3 2 3 2" xfId="4343" xr:uid="{00000000-0005-0000-0000-0000EA100000}"/>
    <cellStyle name="Comma 3 2 4" xfId="4344" xr:uid="{00000000-0005-0000-0000-0000EB100000}"/>
    <cellStyle name="Comma 3 2 4 2" xfId="4345" xr:uid="{00000000-0005-0000-0000-0000EC100000}"/>
    <cellStyle name="Comma 3 2 5" xfId="4346" xr:uid="{00000000-0005-0000-0000-0000ED100000}"/>
    <cellStyle name="Comma 3 3" xfId="4347" xr:uid="{00000000-0005-0000-0000-0000EE100000}"/>
    <cellStyle name="Comma 3 4" xfId="4337" xr:uid="{00000000-0005-0000-0000-0000EF100000}"/>
    <cellStyle name="Comma 4" xfId="4348" xr:uid="{00000000-0005-0000-0000-0000F0100000}"/>
    <cellStyle name="Comma 4 10" xfId="4349" xr:uid="{00000000-0005-0000-0000-0000F1100000}"/>
    <cellStyle name="Comma 4 11" xfId="4350" xr:uid="{00000000-0005-0000-0000-0000F2100000}"/>
    <cellStyle name="Comma 4 2" xfId="4351" xr:uid="{00000000-0005-0000-0000-0000F3100000}"/>
    <cellStyle name="Comma 4 2 2" xfId="4352" xr:uid="{00000000-0005-0000-0000-0000F4100000}"/>
    <cellStyle name="Comma 4 2 2 2" xfId="4353" xr:uid="{00000000-0005-0000-0000-0000F5100000}"/>
    <cellStyle name="Comma 4 2 3" xfId="4354" xr:uid="{00000000-0005-0000-0000-0000F6100000}"/>
    <cellStyle name="Comma 4 2 3 2" xfId="4355" xr:uid="{00000000-0005-0000-0000-0000F7100000}"/>
    <cellStyle name="Comma 4 2 4" xfId="4356" xr:uid="{00000000-0005-0000-0000-0000F8100000}"/>
    <cellStyle name="Comma 4 2 4 2" xfId="4357" xr:uid="{00000000-0005-0000-0000-0000F9100000}"/>
    <cellStyle name="Comma 4 2 5" xfId="4358" xr:uid="{00000000-0005-0000-0000-0000FA100000}"/>
    <cellStyle name="Comma 4 2 5 2" xfId="4359" xr:uid="{00000000-0005-0000-0000-0000FB100000}"/>
    <cellStyle name="Comma 4 2 6" xfId="4360" xr:uid="{00000000-0005-0000-0000-0000FC100000}"/>
    <cellStyle name="Comma 4 2 6 2" xfId="4361" xr:uid="{00000000-0005-0000-0000-0000FD100000}"/>
    <cellStyle name="Comma 4 2 7" xfId="4362" xr:uid="{00000000-0005-0000-0000-0000FE100000}"/>
    <cellStyle name="Comma 4 3" xfId="4363" xr:uid="{00000000-0005-0000-0000-0000FF100000}"/>
    <cellStyle name="Comma 4 3 2" xfId="4364" xr:uid="{00000000-0005-0000-0000-000000110000}"/>
    <cellStyle name="Comma 4 3 2 2" xfId="4365" xr:uid="{00000000-0005-0000-0000-000001110000}"/>
    <cellStyle name="Comma 4 3 3" xfId="4366" xr:uid="{00000000-0005-0000-0000-000002110000}"/>
    <cellStyle name="Comma 4 3 3 2" xfId="4367" xr:uid="{00000000-0005-0000-0000-000003110000}"/>
    <cellStyle name="Comma 4 3 4" xfId="4368" xr:uid="{00000000-0005-0000-0000-000004110000}"/>
    <cellStyle name="Comma 4 3 4 2" xfId="4369" xr:uid="{00000000-0005-0000-0000-000005110000}"/>
    <cellStyle name="Comma 4 3 5" xfId="4370" xr:uid="{00000000-0005-0000-0000-000006110000}"/>
    <cellStyle name="Comma 4 3 5 2" xfId="4371" xr:uid="{00000000-0005-0000-0000-000007110000}"/>
    <cellStyle name="Comma 4 3 6" xfId="4372" xr:uid="{00000000-0005-0000-0000-000008110000}"/>
    <cellStyle name="Comma 4 3 6 2" xfId="4373" xr:uid="{00000000-0005-0000-0000-000009110000}"/>
    <cellStyle name="Comma 4 3 7" xfId="4374" xr:uid="{00000000-0005-0000-0000-00000A110000}"/>
    <cellStyle name="Comma 4 4" xfId="4375" xr:uid="{00000000-0005-0000-0000-00000B110000}"/>
    <cellStyle name="Comma 4 4 2" xfId="4376" xr:uid="{00000000-0005-0000-0000-00000C110000}"/>
    <cellStyle name="Comma 4 4 2 2" xfId="4377" xr:uid="{00000000-0005-0000-0000-00000D110000}"/>
    <cellStyle name="Comma 4 4 3" xfId="4378" xr:uid="{00000000-0005-0000-0000-00000E110000}"/>
    <cellStyle name="Comma 4 5" xfId="4379" xr:uid="{00000000-0005-0000-0000-00000F110000}"/>
    <cellStyle name="Comma 4 5 2" xfId="4380" xr:uid="{00000000-0005-0000-0000-000010110000}"/>
    <cellStyle name="Comma 4 5 2 2" xfId="4381" xr:uid="{00000000-0005-0000-0000-000011110000}"/>
    <cellStyle name="Comma 4 5 3" xfId="4382" xr:uid="{00000000-0005-0000-0000-000012110000}"/>
    <cellStyle name="Comma 4 6" xfId="4383" xr:uid="{00000000-0005-0000-0000-000013110000}"/>
    <cellStyle name="Comma 4 6 2" xfId="4384" xr:uid="{00000000-0005-0000-0000-000014110000}"/>
    <cellStyle name="Comma 4 7" xfId="4385" xr:uid="{00000000-0005-0000-0000-000015110000}"/>
    <cellStyle name="Comma 4 7 2" xfId="4386" xr:uid="{00000000-0005-0000-0000-000016110000}"/>
    <cellStyle name="Comma 4 8" xfId="4387" xr:uid="{00000000-0005-0000-0000-000017110000}"/>
    <cellStyle name="Comma 4 8 2" xfId="4388" xr:uid="{00000000-0005-0000-0000-000018110000}"/>
    <cellStyle name="Comma 4 9" xfId="4389" xr:uid="{00000000-0005-0000-0000-000019110000}"/>
    <cellStyle name="Comma 4 9 2" xfId="4390" xr:uid="{00000000-0005-0000-0000-00001A110000}"/>
    <cellStyle name="Comma 5" xfId="4391" xr:uid="{00000000-0005-0000-0000-00001B110000}"/>
    <cellStyle name="Comma 5 2" xfId="4392" xr:uid="{00000000-0005-0000-0000-00001C110000}"/>
    <cellStyle name="Comma 5 2 2" xfId="4393" xr:uid="{00000000-0005-0000-0000-00001D110000}"/>
    <cellStyle name="Comma 5 3" xfId="4394" xr:uid="{00000000-0005-0000-0000-00001E110000}"/>
    <cellStyle name="Comma 5 3 2" xfId="4395" xr:uid="{00000000-0005-0000-0000-00001F110000}"/>
    <cellStyle name="Comma 5 4" xfId="4396" xr:uid="{00000000-0005-0000-0000-000020110000}"/>
    <cellStyle name="Comma 5 5" xfId="4397" xr:uid="{00000000-0005-0000-0000-000021110000}"/>
    <cellStyle name="Comma 5 5 2" xfId="4398" xr:uid="{00000000-0005-0000-0000-000022110000}"/>
    <cellStyle name="Comma 5 6" xfId="4399" xr:uid="{00000000-0005-0000-0000-000023110000}"/>
    <cellStyle name="Comma 5 6 2" xfId="4400" xr:uid="{00000000-0005-0000-0000-000024110000}"/>
    <cellStyle name="Comma 5 7" xfId="4401" xr:uid="{00000000-0005-0000-0000-000025110000}"/>
    <cellStyle name="Comma 5 7 2" xfId="4402" xr:uid="{00000000-0005-0000-0000-000026110000}"/>
    <cellStyle name="Comma 5 8" xfId="4403" xr:uid="{00000000-0005-0000-0000-000027110000}"/>
    <cellStyle name="Comma 5 9" xfId="4404" xr:uid="{00000000-0005-0000-0000-000028110000}"/>
    <cellStyle name="Comma 6" xfId="4405" xr:uid="{00000000-0005-0000-0000-000029110000}"/>
    <cellStyle name="Comma 6 2" xfId="4406" xr:uid="{00000000-0005-0000-0000-00002A110000}"/>
    <cellStyle name="Comma 6 2 2" xfId="4407" xr:uid="{00000000-0005-0000-0000-00002B110000}"/>
    <cellStyle name="Comma 6 3" xfId="4408" xr:uid="{00000000-0005-0000-0000-00002C110000}"/>
    <cellStyle name="Comma 6 3 2" xfId="4409" xr:uid="{00000000-0005-0000-0000-00002D110000}"/>
    <cellStyle name="Comma 6 4" xfId="4410" xr:uid="{00000000-0005-0000-0000-00002E110000}"/>
    <cellStyle name="Comma 6 4 2" xfId="4411" xr:uid="{00000000-0005-0000-0000-00002F110000}"/>
    <cellStyle name="Comma 6 5" xfId="4412" xr:uid="{00000000-0005-0000-0000-000030110000}"/>
    <cellStyle name="Comma 6 5 2" xfId="4413" xr:uid="{00000000-0005-0000-0000-000031110000}"/>
    <cellStyle name="Comma 6 6" xfId="4414" xr:uid="{00000000-0005-0000-0000-000032110000}"/>
    <cellStyle name="Comma 6 6 2" xfId="4415" xr:uid="{00000000-0005-0000-0000-000033110000}"/>
    <cellStyle name="Comma 6 7" xfId="4416" xr:uid="{00000000-0005-0000-0000-000034110000}"/>
    <cellStyle name="Comma 7" xfId="4417" xr:uid="{00000000-0005-0000-0000-000035110000}"/>
    <cellStyle name="Comma 7 2" xfId="4418" xr:uid="{00000000-0005-0000-0000-000036110000}"/>
    <cellStyle name="Comma 7 2 2" xfId="4419" xr:uid="{00000000-0005-0000-0000-000037110000}"/>
    <cellStyle name="Comma 7 3" xfId="4420" xr:uid="{00000000-0005-0000-0000-000038110000}"/>
    <cellStyle name="Comma 8" xfId="4421" xr:uid="{00000000-0005-0000-0000-000039110000}"/>
    <cellStyle name="Comma 8 2" xfId="4422" xr:uid="{00000000-0005-0000-0000-00003A110000}"/>
    <cellStyle name="Comma 8 2 2" xfId="4423" xr:uid="{00000000-0005-0000-0000-00003B110000}"/>
    <cellStyle name="Comma 8 3" xfId="4424" xr:uid="{00000000-0005-0000-0000-00003C110000}"/>
    <cellStyle name="Comma 9" xfId="4425" xr:uid="{00000000-0005-0000-0000-00003D110000}"/>
    <cellStyle name="Comma 9 2" xfId="4426" xr:uid="{00000000-0005-0000-0000-00003E110000}"/>
    <cellStyle name="Currency 2" xfId="4427" xr:uid="{00000000-0005-0000-0000-00003F110000}"/>
    <cellStyle name="Currency 2 2" xfId="4428" xr:uid="{00000000-0005-0000-0000-000040110000}"/>
    <cellStyle name="Currency 2 2 2" xfId="4429" xr:uid="{00000000-0005-0000-0000-000041110000}"/>
    <cellStyle name="Currency 2 2 2 2" xfId="4430" xr:uid="{00000000-0005-0000-0000-000042110000}"/>
    <cellStyle name="Currency 2 2 3" xfId="4431" xr:uid="{00000000-0005-0000-0000-000043110000}"/>
    <cellStyle name="Currency 2 2 3 2" xfId="4432" xr:uid="{00000000-0005-0000-0000-000044110000}"/>
    <cellStyle name="Currency 2 2 4" xfId="4433" xr:uid="{00000000-0005-0000-0000-000045110000}"/>
    <cellStyle name="Currency 2 2 4 2" xfId="4434" xr:uid="{00000000-0005-0000-0000-000046110000}"/>
    <cellStyle name="Currency 2 2 5" xfId="4435" xr:uid="{00000000-0005-0000-0000-000047110000}"/>
    <cellStyle name="Currency 2 3" xfId="4436" xr:uid="{00000000-0005-0000-0000-000048110000}"/>
    <cellStyle name="Currency 3" xfId="4437" xr:uid="{00000000-0005-0000-0000-000049110000}"/>
    <cellStyle name="Currency 3 2" xfId="4438" xr:uid="{00000000-0005-0000-0000-00004A110000}"/>
    <cellStyle name="Currency 3 2 2 2" xfId="4439" xr:uid="{00000000-0005-0000-0000-00004B110000}"/>
    <cellStyle name="Currency 3 2 2 2 2" xfId="4440" xr:uid="{00000000-0005-0000-0000-00004C110000}"/>
    <cellStyle name="Currency 3 2 2 2 2 2" xfId="4441" xr:uid="{00000000-0005-0000-0000-00004D110000}"/>
    <cellStyle name="Currency 3 2 2 2 2 2 2" xfId="4442" xr:uid="{00000000-0005-0000-0000-00004E110000}"/>
    <cellStyle name="Currency 3 2 2 2 2 3" xfId="4443" xr:uid="{00000000-0005-0000-0000-00004F110000}"/>
    <cellStyle name="Currency 3 2 2 2 2 3 2" xfId="4444" xr:uid="{00000000-0005-0000-0000-000050110000}"/>
    <cellStyle name="Currency 3 2 2 2 2 4" xfId="4445" xr:uid="{00000000-0005-0000-0000-000051110000}"/>
    <cellStyle name="Currency 3 2 2 2 2 4 2" xfId="4446" xr:uid="{00000000-0005-0000-0000-000052110000}"/>
    <cellStyle name="Currency 3 2 2 2 2 5" xfId="4447" xr:uid="{00000000-0005-0000-0000-000053110000}"/>
    <cellStyle name="Currency 3 2 2 2 2 5 2" xfId="4448" xr:uid="{00000000-0005-0000-0000-000054110000}"/>
    <cellStyle name="Currency 3 2 2 2 2 6" xfId="4449" xr:uid="{00000000-0005-0000-0000-000055110000}"/>
    <cellStyle name="Currency 3 2 2 2 3" xfId="4450" xr:uid="{00000000-0005-0000-0000-000056110000}"/>
    <cellStyle name="Currency 3 2 2 2 3 2" xfId="4451" xr:uid="{00000000-0005-0000-0000-000057110000}"/>
    <cellStyle name="Currency 3 2 2 2 4" xfId="4452" xr:uid="{00000000-0005-0000-0000-000058110000}"/>
    <cellStyle name="Currency 3 2 2 2 4 2" xfId="4453" xr:uid="{00000000-0005-0000-0000-000059110000}"/>
    <cellStyle name="Currency 3 2 2 2 5" xfId="4454" xr:uid="{00000000-0005-0000-0000-00005A110000}"/>
    <cellStyle name="Currency 3 2 2 2 5 2" xfId="4455" xr:uid="{00000000-0005-0000-0000-00005B110000}"/>
    <cellStyle name="Currency 3 2 2 2 6" xfId="4456" xr:uid="{00000000-0005-0000-0000-00005C110000}"/>
    <cellStyle name="Currency 3 2 2 2 6 2" xfId="4457" xr:uid="{00000000-0005-0000-0000-00005D110000}"/>
    <cellStyle name="Currency 3 2 2 2 7" xfId="4458" xr:uid="{00000000-0005-0000-0000-00005E110000}"/>
    <cellStyle name="Currency 3 2 2 2 7 2" xfId="4459" xr:uid="{00000000-0005-0000-0000-00005F110000}"/>
    <cellStyle name="Currency 3 2 2 2 8" xfId="4460" xr:uid="{00000000-0005-0000-0000-000060110000}"/>
    <cellStyle name="Currency 3 2 2 2 8 2" xfId="4461" xr:uid="{00000000-0005-0000-0000-000061110000}"/>
    <cellStyle name="Currency 3 2 2 2 9" xfId="4462" xr:uid="{00000000-0005-0000-0000-000062110000}"/>
    <cellStyle name="Currency 4" xfId="4463" xr:uid="{00000000-0005-0000-0000-000063110000}"/>
    <cellStyle name="Currency 4 2" xfId="4464" xr:uid="{00000000-0005-0000-0000-000064110000}"/>
    <cellStyle name="Currency 5" xfId="4465" xr:uid="{00000000-0005-0000-0000-000065110000}"/>
    <cellStyle name="Currency 5 2" xfId="4466" xr:uid="{00000000-0005-0000-0000-000066110000}"/>
    <cellStyle name="Currency 6" xfId="4467" xr:uid="{00000000-0005-0000-0000-000067110000}"/>
    <cellStyle name="Currency 6 2" xfId="4468" xr:uid="{00000000-0005-0000-0000-000068110000}"/>
    <cellStyle name="Currency 7" xfId="5571" xr:uid="{00000000-0005-0000-0000-000069110000}"/>
    <cellStyle name="Fixed Inputs from Catawba Contracts" xfId="4469" xr:uid="{00000000-0005-0000-0000-00006A110000}"/>
    <cellStyle name="Historical Inputs" xfId="4470" xr:uid="{00000000-0005-0000-0000-00006B110000}"/>
    <cellStyle name="Hot Inputs" xfId="4471" xr:uid="{00000000-0005-0000-0000-00006C110000}"/>
    <cellStyle name="Hyperlink 2" xfId="4472" xr:uid="{00000000-0005-0000-0000-00006D110000}"/>
    <cellStyle name="Hyperlink 2 2" xfId="4473" xr:uid="{00000000-0005-0000-0000-00006E110000}"/>
    <cellStyle name="Hyperlink 3" xfId="4474" xr:uid="{00000000-0005-0000-0000-00006F110000}"/>
    <cellStyle name="Imported data from another worksheet" xfId="4475" xr:uid="{00000000-0005-0000-0000-000070110000}"/>
    <cellStyle name="IndirectReference" xfId="4476" xr:uid="{00000000-0005-0000-0000-000071110000}"/>
    <cellStyle name="Input 2" xfId="4477" xr:uid="{00000000-0005-0000-0000-000072110000}"/>
    <cellStyle name="Input Cell" xfId="4478" xr:uid="{00000000-0005-0000-0000-000073110000}"/>
    <cellStyle name="Normal" xfId="0" builtinId="0"/>
    <cellStyle name="Normal 10" xfId="4479" xr:uid="{00000000-0005-0000-0000-000075110000}"/>
    <cellStyle name="Normal 10 2" xfId="4480" xr:uid="{00000000-0005-0000-0000-000076110000}"/>
    <cellStyle name="Normal 10 3" xfId="4481" xr:uid="{00000000-0005-0000-0000-000077110000}"/>
    <cellStyle name="Normal 10 3 2" xfId="4482" xr:uid="{00000000-0005-0000-0000-000078110000}"/>
    <cellStyle name="Normal 10 3 3" xfId="4483" xr:uid="{00000000-0005-0000-0000-000079110000}"/>
    <cellStyle name="Normal 10 4" xfId="4484" xr:uid="{00000000-0005-0000-0000-00007A110000}"/>
    <cellStyle name="Normal 10 4 2" xfId="4485" xr:uid="{00000000-0005-0000-0000-00007B110000}"/>
    <cellStyle name="Normal 11" xfId="4486" xr:uid="{00000000-0005-0000-0000-00007C110000}"/>
    <cellStyle name="Normal 11 2" xfId="4487" xr:uid="{00000000-0005-0000-0000-00007D110000}"/>
    <cellStyle name="Normal 11 2 2" xfId="4488" xr:uid="{00000000-0005-0000-0000-00007E110000}"/>
    <cellStyle name="Normal 11 2 2 2" xfId="4489" xr:uid="{00000000-0005-0000-0000-00007F110000}"/>
    <cellStyle name="Normal 11 3" xfId="4490" xr:uid="{00000000-0005-0000-0000-000080110000}"/>
    <cellStyle name="Normal 11 3 2" xfId="4491" xr:uid="{00000000-0005-0000-0000-000081110000}"/>
    <cellStyle name="Normal 11 4" xfId="4492" xr:uid="{00000000-0005-0000-0000-000082110000}"/>
    <cellStyle name="Normal 11 4 2" xfId="4493" xr:uid="{00000000-0005-0000-0000-000083110000}"/>
    <cellStyle name="Normal 11 5" xfId="4494" xr:uid="{00000000-0005-0000-0000-000084110000}"/>
    <cellStyle name="Normal 11 5 2" xfId="4495" xr:uid="{00000000-0005-0000-0000-000085110000}"/>
    <cellStyle name="Normal 11 6" xfId="4496" xr:uid="{00000000-0005-0000-0000-000086110000}"/>
    <cellStyle name="Normal 11 7" xfId="4497" xr:uid="{00000000-0005-0000-0000-000087110000}"/>
    <cellStyle name="Normal 11 7 2" xfId="4498" xr:uid="{00000000-0005-0000-0000-000088110000}"/>
    <cellStyle name="Normal 12" xfId="4499" xr:uid="{00000000-0005-0000-0000-000089110000}"/>
    <cellStyle name="Normal 12 2" xfId="4500" xr:uid="{00000000-0005-0000-0000-00008A110000}"/>
    <cellStyle name="Normal 12 2 2" xfId="4501" xr:uid="{00000000-0005-0000-0000-00008B110000}"/>
    <cellStyle name="Normal 12 3" xfId="4502" xr:uid="{00000000-0005-0000-0000-00008C110000}"/>
    <cellStyle name="Normal 12 3 2" xfId="4503" xr:uid="{00000000-0005-0000-0000-00008D110000}"/>
    <cellStyle name="Normal 12 4" xfId="4504" xr:uid="{00000000-0005-0000-0000-00008E110000}"/>
    <cellStyle name="Normal 12 4 2" xfId="4505" xr:uid="{00000000-0005-0000-0000-00008F110000}"/>
    <cellStyle name="Normal 12 5" xfId="4506" xr:uid="{00000000-0005-0000-0000-000090110000}"/>
    <cellStyle name="Normal 12 5 2" xfId="4507" xr:uid="{00000000-0005-0000-0000-000091110000}"/>
    <cellStyle name="Normal 12 6" xfId="4508" xr:uid="{00000000-0005-0000-0000-000092110000}"/>
    <cellStyle name="Normal 12 6 2" xfId="4509" xr:uid="{00000000-0005-0000-0000-000093110000}"/>
    <cellStyle name="Normal 12 7" xfId="4510" xr:uid="{00000000-0005-0000-0000-000094110000}"/>
    <cellStyle name="Normal 13" xfId="4511" xr:uid="{00000000-0005-0000-0000-000095110000}"/>
    <cellStyle name="Normal 13 2" xfId="4512" xr:uid="{00000000-0005-0000-0000-000096110000}"/>
    <cellStyle name="Normal 13 2 2" xfId="4513" xr:uid="{00000000-0005-0000-0000-000097110000}"/>
    <cellStyle name="Normal 13 3" xfId="4514" xr:uid="{00000000-0005-0000-0000-000098110000}"/>
    <cellStyle name="Normal 13 3 2" xfId="4515" xr:uid="{00000000-0005-0000-0000-000099110000}"/>
    <cellStyle name="Normal 13 4" xfId="4516" xr:uid="{00000000-0005-0000-0000-00009A110000}"/>
    <cellStyle name="Normal 14" xfId="4517" xr:uid="{00000000-0005-0000-0000-00009B110000}"/>
    <cellStyle name="Normal 14 2" xfId="4518" xr:uid="{00000000-0005-0000-0000-00009C110000}"/>
    <cellStyle name="Normal 14 2 2" xfId="4519" xr:uid="{00000000-0005-0000-0000-00009D110000}"/>
    <cellStyle name="Normal 14 3" xfId="4520" xr:uid="{00000000-0005-0000-0000-00009E110000}"/>
    <cellStyle name="Normal 14 4" xfId="4521" xr:uid="{00000000-0005-0000-0000-00009F110000}"/>
    <cellStyle name="Normal 15" xfId="4522" xr:uid="{00000000-0005-0000-0000-0000A0110000}"/>
    <cellStyle name="Normal 15 2" xfId="4523" xr:uid="{00000000-0005-0000-0000-0000A1110000}"/>
    <cellStyle name="Normal 15 2 2" xfId="4524" xr:uid="{00000000-0005-0000-0000-0000A2110000}"/>
    <cellStyle name="Normal 15 3" xfId="4525" xr:uid="{00000000-0005-0000-0000-0000A3110000}"/>
    <cellStyle name="Normal 16" xfId="4526" xr:uid="{00000000-0005-0000-0000-0000A4110000}"/>
    <cellStyle name="Normal 16 2" xfId="4527" xr:uid="{00000000-0005-0000-0000-0000A5110000}"/>
    <cellStyle name="Normal 16 2 2" xfId="4528" xr:uid="{00000000-0005-0000-0000-0000A6110000}"/>
    <cellStyle name="Normal 16 3" xfId="4529" xr:uid="{00000000-0005-0000-0000-0000A7110000}"/>
    <cellStyle name="Normal 17" xfId="4530" xr:uid="{00000000-0005-0000-0000-0000A8110000}"/>
    <cellStyle name="Normal 17 2" xfId="4531" xr:uid="{00000000-0005-0000-0000-0000A9110000}"/>
    <cellStyle name="Normal 17 2 2" xfId="4532" xr:uid="{00000000-0005-0000-0000-0000AA110000}"/>
    <cellStyle name="Normal 17 3" xfId="4533" xr:uid="{00000000-0005-0000-0000-0000AB110000}"/>
    <cellStyle name="Normal 18" xfId="4534" xr:uid="{00000000-0005-0000-0000-0000AC110000}"/>
    <cellStyle name="Normal 18 2" xfId="4535" xr:uid="{00000000-0005-0000-0000-0000AD110000}"/>
    <cellStyle name="Normal 19" xfId="4536" xr:uid="{00000000-0005-0000-0000-0000AE110000}"/>
    <cellStyle name="Normal 19 2" xfId="4537" xr:uid="{00000000-0005-0000-0000-0000AF110000}"/>
    <cellStyle name="Normal 2" xfId="2" xr:uid="{00000000-0005-0000-0000-0000B0110000}"/>
    <cellStyle name="Normal 2 10" xfId="4539" xr:uid="{00000000-0005-0000-0000-0000B1110000}"/>
    <cellStyle name="Normal 2 11" xfId="4540" xr:uid="{00000000-0005-0000-0000-0000B2110000}"/>
    <cellStyle name="Normal 2 12" xfId="4541" xr:uid="{00000000-0005-0000-0000-0000B3110000}"/>
    <cellStyle name="Normal 2 13" xfId="4542" xr:uid="{00000000-0005-0000-0000-0000B4110000}"/>
    <cellStyle name="Normal 2 14" xfId="4543" xr:uid="{00000000-0005-0000-0000-0000B5110000}"/>
    <cellStyle name="Normal 2 15" xfId="4544" xr:uid="{00000000-0005-0000-0000-0000B6110000}"/>
    <cellStyle name="Normal 2 16" xfId="4545" xr:uid="{00000000-0005-0000-0000-0000B7110000}"/>
    <cellStyle name="Normal 2 17" xfId="4546" xr:uid="{00000000-0005-0000-0000-0000B8110000}"/>
    <cellStyle name="Normal 2 18" xfId="4547" xr:uid="{00000000-0005-0000-0000-0000B9110000}"/>
    <cellStyle name="Normal 2 19" xfId="4548" xr:uid="{00000000-0005-0000-0000-0000BA110000}"/>
    <cellStyle name="Normal 2 2" xfId="9" xr:uid="{00000000-0005-0000-0000-0000BB110000}"/>
    <cellStyle name="Normal 2 2 10" xfId="4549" xr:uid="{00000000-0005-0000-0000-0000BC110000}"/>
    <cellStyle name="Normal 2 2 10 2" xfId="4550" xr:uid="{00000000-0005-0000-0000-0000BD110000}"/>
    <cellStyle name="Normal 2 2 11" xfId="4551" xr:uid="{00000000-0005-0000-0000-0000BE110000}"/>
    <cellStyle name="Normal 2 2 12" xfId="4552" xr:uid="{00000000-0005-0000-0000-0000BF110000}"/>
    <cellStyle name="Normal 2 2 2" xfId="4553" xr:uid="{00000000-0005-0000-0000-0000C0110000}"/>
    <cellStyle name="Normal 2 2 2 2" xfId="4554" xr:uid="{00000000-0005-0000-0000-0000C1110000}"/>
    <cellStyle name="Normal 2 2 2 2 2" xfId="4555" xr:uid="{00000000-0005-0000-0000-0000C2110000}"/>
    <cellStyle name="Normal 2 2 2 3" xfId="4556" xr:uid="{00000000-0005-0000-0000-0000C3110000}"/>
    <cellStyle name="Normal 2 2 2 3 2" xfId="4557" xr:uid="{00000000-0005-0000-0000-0000C4110000}"/>
    <cellStyle name="Normal 2 2 2 4" xfId="4558" xr:uid="{00000000-0005-0000-0000-0000C5110000}"/>
    <cellStyle name="Normal 2 2 2 4 2" xfId="4559" xr:uid="{00000000-0005-0000-0000-0000C6110000}"/>
    <cellStyle name="Normal 2 2 2 5" xfId="4560" xr:uid="{00000000-0005-0000-0000-0000C7110000}"/>
    <cellStyle name="Normal 2 2 2 5 2" xfId="4561" xr:uid="{00000000-0005-0000-0000-0000C8110000}"/>
    <cellStyle name="Normal 2 2 2 6" xfId="4562" xr:uid="{00000000-0005-0000-0000-0000C9110000}"/>
    <cellStyle name="Normal 2 2 2 6 2" xfId="4563" xr:uid="{00000000-0005-0000-0000-0000CA110000}"/>
    <cellStyle name="Normal 2 2 2 7" xfId="4564" xr:uid="{00000000-0005-0000-0000-0000CB110000}"/>
    <cellStyle name="Normal 2 2 3" xfId="4565" xr:uid="{00000000-0005-0000-0000-0000CC110000}"/>
    <cellStyle name="Normal 2 2 3 2" xfId="4566" xr:uid="{00000000-0005-0000-0000-0000CD110000}"/>
    <cellStyle name="Normal 2 2 3 2 2" xfId="4567" xr:uid="{00000000-0005-0000-0000-0000CE110000}"/>
    <cellStyle name="Normal 2 2 3 3" xfId="4568" xr:uid="{00000000-0005-0000-0000-0000CF110000}"/>
    <cellStyle name="Normal 2 2 3 3 2" xfId="4569" xr:uid="{00000000-0005-0000-0000-0000D0110000}"/>
    <cellStyle name="Normal 2 2 3 4" xfId="4570" xr:uid="{00000000-0005-0000-0000-0000D1110000}"/>
    <cellStyle name="Normal 2 2 3 4 2" xfId="4571" xr:uid="{00000000-0005-0000-0000-0000D2110000}"/>
    <cellStyle name="Normal 2 2 3 5" xfId="4572" xr:uid="{00000000-0005-0000-0000-0000D3110000}"/>
    <cellStyle name="Normal 2 2 3 5 2" xfId="4573" xr:uid="{00000000-0005-0000-0000-0000D4110000}"/>
    <cellStyle name="Normal 2 2 3 6" xfId="4574" xr:uid="{00000000-0005-0000-0000-0000D5110000}"/>
    <cellStyle name="Normal 2 2 3 6 2" xfId="4575" xr:uid="{00000000-0005-0000-0000-0000D6110000}"/>
    <cellStyle name="Normal 2 2 3 7" xfId="4576" xr:uid="{00000000-0005-0000-0000-0000D7110000}"/>
    <cellStyle name="Normal 2 2 4" xfId="4577" xr:uid="{00000000-0005-0000-0000-0000D8110000}"/>
    <cellStyle name="Normal 2 2 4 2" xfId="4578" xr:uid="{00000000-0005-0000-0000-0000D9110000}"/>
    <cellStyle name="Normal 2 2 4 2 2" xfId="4579" xr:uid="{00000000-0005-0000-0000-0000DA110000}"/>
    <cellStyle name="Normal 2 2 4 3" xfId="4580" xr:uid="{00000000-0005-0000-0000-0000DB110000}"/>
    <cellStyle name="Normal 2 2 5" xfId="4581" xr:uid="{00000000-0005-0000-0000-0000DC110000}"/>
    <cellStyle name="Normal 2 2 5 2" xfId="4582" xr:uid="{00000000-0005-0000-0000-0000DD110000}"/>
    <cellStyle name="Normal 2 2 5 2 2" xfId="4583" xr:uid="{00000000-0005-0000-0000-0000DE110000}"/>
    <cellStyle name="Normal 2 2 5 3" xfId="4584" xr:uid="{00000000-0005-0000-0000-0000DF110000}"/>
    <cellStyle name="Normal 2 2 6" xfId="4585" xr:uid="{00000000-0005-0000-0000-0000E0110000}"/>
    <cellStyle name="Normal 2 2 6 2" xfId="4586" xr:uid="{00000000-0005-0000-0000-0000E1110000}"/>
    <cellStyle name="Normal 2 2 7" xfId="4587" xr:uid="{00000000-0005-0000-0000-0000E2110000}"/>
    <cellStyle name="Normal 2 2 7 2" xfId="4588" xr:uid="{00000000-0005-0000-0000-0000E3110000}"/>
    <cellStyle name="Normal 2 2 8" xfId="4589" xr:uid="{00000000-0005-0000-0000-0000E4110000}"/>
    <cellStyle name="Normal 2 2 9" xfId="4590" xr:uid="{00000000-0005-0000-0000-0000E5110000}"/>
    <cellStyle name="Normal 2 2 9 2" xfId="4591" xr:uid="{00000000-0005-0000-0000-0000E6110000}"/>
    <cellStyle name="Normal 2 20" xfId="4538" xr:uid="{00000000-0005-0000-0000-0000E7110000}"/>
    <cellStyle name="Normal 2 3" xfId="4592" xr:uid="{00000000-0005-0000-0000-0000E8110000}"/>
    <cellStyle name="Normal 2 3 2" xfId="4593" xr:uid="{00000000-0005-0000-0000-0000E9110000}"/>
    <cellStyle name="Normal 2 3 2 2" xfId="4594" xr:uid="{00000000-0005-0000-0000-0000EA110000}"/>
    <cellStyle name="Normal 2 3 2 2 2" xfId="4595" xr:uid="{00000000-0005-0000-0000-0000EB110000}"/>
    <cellStyle name="Normal 2 3 2 3" xfId="4596" xr:uid="{00000000-0005-0000-0000-0000EC110000}"/>
    <cellStyle name="Normal 2 3 2 3 2" xfId="4597" xr:uid="{00000000-0005-0000-0000-0000ED110000}"/>
    <cellStyle name="Normal 2 3 2 4" xfId="4598" xr:uid="{00000000-0005-0000-0000-0000EE110000}"/>
    <cellStyle name="Normal 2 3 2 4 2" xfId="4599" xr:uid="{00000000-0005-0000-0000-0000EF110000}"/>
    <cellStyle name="Normal 2 3 2 5" xfId="4600" xr:uid="{00000000-0005-0000-0000-0000F0110000}"/>
    <cellStyle name="Normal 2 3 3" xfId="4601" xr:uid="{00000000-0005-0000-0000-0000F1110000}"/>
    <cellStyle name="Normal 2 3 3 2" xfId="4602" xr:uid="{00000000-0005-0000-0000-0000F2110000}"/>
    <cellStyle name="Normal 2 3 3 3" xfId="4603" xr:uid="{00000000-0005-0000-0000-0000F3110000}"/>
    <cellStyle name="Normal 2 3 4" xfId="4604" xr:uid="{00000000-0005-0000-0000-0000F4110000}"/>
    <cellStyle name="Normal 2 3 5" xfId="4605" xr:uid="{00000000-0005-0000-0000-0000F5110000}"/>
    <cellStyle name="Normal 2 3 5 2" xfId="4606" xr:uid="{00000000-0005-0000-0000-0000F6110000}"/>
    <cellStyle name="Normal 2 3 6" xfId="4607" xr:uid="{00000000-0005-0000-0000-0000F7110000}"/>
    <cellStyle name="Normal 2 3 7" xfId="4608" xr:uid="{00000000-0005-0000-0000-0000F8110000}"/>
    <cellStyle name="Normal 2 4" xfId="4609" xr:uid="{00000000-0005-0000-0000-0000F9110000}"/>
    <cellStyle name="Normal 2 4 2" xfId="4610" xr:uid="{00000000-0005-0000-0000-0000FA110000}"/>
    <cellStyle name="Normal 2 4 2 2" xfId="4611" xr:uid="{00000000-0005-0000-0000-0000FB110000}"/>
    <cellStyle name="Normal 2 4 2 2 2" xfId="4612" xr:uid="{00000000-0005-0000-0000-0000FC110000}"/>
    <cellStyle name="Normal 2 4 2 3" xfId="4613" xr:uid="{00000000-0005-0000-0000-0000FD110000}"/>
    <cellStyle name="Normal 2 4 3" xfId="4614" xr:uid="{00000000-0005-0000-0000-0000FE110000}"/>
    <cellStyle name="Normal 2 4 3 2" xfId="4615" xr:uid="{00000000-0005-0000-0000-0000FF110000}"/>
    <cellStyle name="Normal 2 4 3 2 2" xfId="4616" xr:uid="{00000000-0005-0000-0000-000000120000}"/>
    <cellStyle name="Normal 2 4 3 3" xfId="4617" xr:uid="{00000000-0005-0000-0000-000001120000}"/>
    <cellStyle name="Normal 2 4 4" xfId="4618" xr:uid="{00000000-0005-0000-0000-000002120000}"/>
    <cellStyle name="Normal 2 4 4 2" xfId="4619" xr:uid="{00000000-0005-0000-0000-000003120000}"/>
    <cellStyle name="Normal 2 4 4 2 2" xfId="4620" xr:uid="{00000000-0005-0000-0000-000004120000}"/>
    <cellStyle name="Normal 2 4 4 3" xfId="4621" xr:uid="{00000000-0005-0000-0000-000005120000}"/>
    <cellStyle name="Normal 2 4 5" xfId="4622" xr:uid="{00000000-0005-0000-0000-000006120000}"/>
    <cellStyle name="Normal 2 4 5 2" xfId="4623" xr:uid="{00000000-0005-0000-0000-000007120000}"/>
    <cellStyle name="Normal 2 4 5 2 2" xfId="4624" xr:uid="{00000000-0005-0000-0000-000008120000}"/>
    <cellStyle name="Normal 2 4 5 3" xfId="4625" xr:uid="{00000000-0005-0000-0000-000009120000}"/>
    <cellStyle name="Normal 2 4 6" xfId="4626" xr:uid="{00000000-0005-0000-0000-00000A120000}"/>
    <cellStyle name="Normal 2 4 7" xfId="4627" xr:uid="{00000000-0005-0000-0000-00000B120000}"/>
    <cellStyle name="Normal 2 4 7 2" xfId="4628" xr:uid="{00000000-0005-0000-0000-00000C120000}"/>
    <cellStyle name="Normal 2 4 8" xfId="4629" xr:uid="{00000000-0005-0000-0000-00000D120000}"/>
    <cellStyle name="Normal 2 4 8 2" xfId="4630" xr:uid="{00000000-0005-0000-0000-00000E120000}"/>
    <cellStyle name="Normal 2 4 9" xfId="4631" xr:uid="{00000000-0005-0000-0000-00000F120000}"/>
    <cellStyle name="Normal 2 5" xfId="4632" xr:uid="{00000000-0005-0000-0000-000010120000}"/>
    <cellStyle name="Normal 2 5 2" xfId="4633" xr:uid="{00000000-0005-0000-0000-000011120000}"/>
    <cellStyle name="Normal 2 5 2 2" xfId="4634" xr:uid="{00000000-0005-0000-0000-000012120000}"/>
    <cellStyle name="Normal 2 5 2 2 2" xfId="4635" xr:uid="{00000000-0005-0000-0000-000013120000}"/>
    <cellStyle name="Normal 2 5 2 3" xfId="4636" xr:uid="{00000000-0005-0000-0000-000014120000}"/>
    <cellStyle name="Normal 2 5 3" xfId="4637" xr:uid="{00000000-0005-0000-0000-000015120000}"/>
    <cellStyle name="Normal 2 5 3 2" xfId="4638" xr:uid="{00000000-0005-0000-0000-000016120000}"/>
    <cellStyle name="Normal 2 5 3 2 2" xfId="4639" xr:uid="{00000000-0005-0000-0000-000017120000}"/>
    <cellStyle name="Normal 2 5 3 3" xfId="4640" xr:uid="{00000000-0005-0000-0000-000018120000}"/>
    <cellStyle name="Normal 2 5 4" xfId="4641" xr:uid="{00000000-0005-0000-0000-000019120000}"/>
    <cellStyle name="Normal 2 5 4 2" xfId="4642" xr:uid="{00000000-0005-0000-0000-00001A120000}"/>
    <cellStyle name="Normal 2 5 4 2 2" xfId="4643" xr:uid="{00000000-0005-0000-0000-00001B120000}"/>
    <cellStyle name="Normal 2 5 4 3" xfId="4644" xr:uid="{00000000-0005-0000-0000-00001C120000}"/>
    <cellStyle name="Normal 2 5 5" xfId="4645" xr:uid="{00000000-0005-0000-0000-00001D120000}"/>
    <cellStyle name="Normal 2 5 5 2" xfId="4646" xr:uid="{00000000-0005-0000-0000-00001E120000}"/>
    <cellStyle name="Normal 2 5 5 2 2" xfId="4647" xr:uid="{00000000-0005-0000-0000-00001F120000}"/>
    <cellStyle name="Normal 2 5 5 3" xfId="4648" xr:uid="{00000000-0005-0000-0000-000020120000}"/>
    <cellStyle name="Normal 2 5 6" xfId="4649" xr:uid="{00000000-0005-0000-0000-000021120000}"/>
    <cellStyle name="Normal 2 5 7" xfId="4650" xr:uid="{00000000-0005-0000-0000-000022120000}"/>
    <cellStyle name="Normal 2 5 7 2" xfId="4651" xr:uid="{00000000-0005-0000-0000-000023120000}"/>
    <cellStyle name="Normal 2 5 8" xfId="4652" xr:uid="{00000000-0005-0000-0000-000024120000}"/>
    <cellStyle name="Normal 2 5 8 2" xfId="4653" xr:uid="{00000000-0005-0000-0000-000025120000}"/>
    <cellStyle name="Normal 2 5 9" xfId="4654" xr:uid="{00000000-0005-0000-0000-000026120000}"/>
    <cellStyle name="Normal 2 6" xfId="4655" xr:uid="{00000000-0005-0000-0000-000027120000}"/>
    <cellStyle name="Normal 2 6 2" xfId="4656" xr:uid="{00000000-0005-0000-0000-000028120000}"/>
    <cellStyle name="Normal 2 6 3" xfId="4657" xr:uid="{00000000-0005-0000-0000-000029120000}"/>
    <cellStyle name="Normal 2 6 3 2" xfId="4658" xr:uid="{00000000-0005-0000-0000-00002A120000}"/>
    <cellStyle name="Normal 2 6 4" xfId="4659" xr:uid="{00000000-0005-0000-0000-00002B120000}"/>
    <cellStyle name="Normal 2 7" xfId="4660" xr:uid="{00000000-0005-0000-0000-00002C120000}"/>
    <cellStyle name="Normal 2 7 2" xfId="4661" xr:uid="{00000000-0005-0000-0000-00002D120000}"/>
    <cellStyle name="Normal 2 7 3" xfId="4662" xr:uid="{00000000-0005-0000-0000-00002E120000}"/>
    <cellStyle name="Normal 2 7 3 2" xfId="4663" xr:uid="{00000000-0005-0000-0000-00002F120000}"/>
    <cellStyle name="Normal 2 7 4" xfId="4664" xr:uid="{00000000-0005-0000-0000-000030120000}"/>
    <cellStyle name="Normal 2 8" xfId="4665" xr:uid="{00000000-0005-0000-0000-000031120000}"/>
    <cellStyle name="Normal 2 8 2" xfId="4666" xr:uid="{00000000-0005-0000-0000-000032120000}"/>
    <cellStyle name="Normal 2 8 2 2" xfId="4667" xr:uid="{00000000-0005-0000-0000-000033120000}"/>
    <cellStyle name="Normal 2 8 3" xfId="4668" xr:uid="{00000000-0005-0000-0000-000034120000}"/>
    <cellStyle name="Normal 2 9" xfId="4669" xr:uid="{00000000-0005-0000-0000-000035120000}"/>
    <cellStyle name="Normal 2 9 2" xfId="4670" xr:uid="{00000000-0005-0000-0000-000036120000}"/>
    <cellStyle name="Normal 2 9 3" xfId="4671" xr:uid="{00000000-0005-0000-0000-000037120000}"/>
    <cellStyle name="Normal 2 9 3 2" xfId="4672" xr:uid="{00000000-0005-0000-0000-000038120000}"/>
    <cellStyle name="Normal 2 9 4" xfId="4673" xr:uid="{00000000-0005-0000-0000-000039120000}"/>
    <cellStyle name="Normal 2_DEC" xfId="5572" xr:uid="{00000000-0005-0000-0000-00003A120000}"/>
    <cellStyle name="Normal 20" xfId="4674" xr:uid="{00000000-0005-0000-0000-00003B120000}"/>
    <cellStyle name="Normal 20 2" xfId="4675" xr:uid="{00000000-0005-0000-0000-00003C120000}"/>
    <cellStyle name="Normal 21" xfId="4676" xr:uid="{00000000-0005-0000-0000-00003D120000}"/>
    <cellStyle name="Normal 21 2" xfId="4677" xr:uid="{00000000-0005-0000-0000-00003E120000}"/>
    <cellStyle name="Normal 22" xfId="4678" xr:uid="{00000000-0005-0000-0000-00003F120000}"/>
    <cellStyle name="Normal 22 2" xfId="4679" xr:uid="{00000000-0005-0000-0000-000040120000}"/>
    <cellStyle name="Normal 23" xfId="4680" xr:uid="{00000000-0005-0000-0000-000041120000}"/>
    <cellStyle name="Normal 23 2" xfId="4681" xr:uid="{00000000-0005-0000-0000-000042120000}"/>
    <cellStyle name="Normal 24" xfId="4682" xr:uid="{00000000-0005-0000-0000-000043120000}"/>
    <cellStyle name="Normal 25" xfId="4683" xr:uid="{00000000-0005-0000-0000-000044120000}"/>
    <cellStyle name="Normal 25 2" xfId="4684" xr:uid="{00000000-0005-0000-0000-000045120000}"/>
    <cellStyle name="Normal 26" xfId="4685" xr:uid="{00000000-0005-0000-0000-000046120000}"/>
    <cellStyle name="Normal 26 2" xfId="4686" xr:uid="{00000000-0005-0000-0000-000047120000}"/>
    <cellStyle name="Normal 27" xfId="4687" xr:uid="{00000000-0005-0000-0000-000048120000}"/>
    <cellStyle name="Normal 27 2" xfId="4688" xr:uid="{00000000-0005-0000-0000-000049120000}"/>
    <cellStyle name="Normal 28" xfId="4689" xr:uid="{00000000-0005-0000-0000-00004A120000}"/>
    <cellStyle name="Normal 29" xfId="5568" xr:uid="{00000000-0005-0000-0000-00004B120000}"/>
    <cellStyle name="Normal 3" xfId="3" xr:uid="{00000000-0005-0000-0000-00004C120000}"/>
    <cellStyle name="Normal 3 2" xfId="7" xr:uid="{00000000-0005-0000-0000-00004D120000}"/>
    <cellStyle name="Normal 3 2 2" xfId="4692" xr:uid="{00000000-0005-0000-0000-00004E120000}"/>
    <cellStyle name="Normal 3 2 3" xfId="4691" xr:uid="{00000000-0005-0000-0000-00004F120000}"/>
    <cellStyle name="Normal 3 3" xfId="14" xr:uid="{00000000-0005-0000-0000-000050120000}"/>
    <cellStyle name="Normal 3 3 2" xfId="4693" xr:uid="{00000000-0005-0000-0000-000051120000}"/>
    <cellStyle name="Normal 3 3 2 2" xfId="4694" xr:uid="{00000000-0005-0000-0000-000052120000}"/>
    <cellStyle name="Normal 3 3 2 2 2" xfId="4695" xr:uid="{00000000-0005-0000-0000-000053120000}"/>
    <cellStyle name="Normal 3 3 2 2 2 2" xfId="4696" xr:uid="{00000000-0005-0000-0000-000054120000}"/>
    <cellStyle name="Normal 3 3 2 2 2 2 2" xfId="4697" xr:uid="{00000000-0005-0000-0000-000055120000}"/>
    <cellStyle name="Normal 3 3 2 2 2 3" xfId="4698" xr:uid="{00000000-0005-0000-0000-000056120000}"/>
    <cellStyle name="Normal 3 3 2 2 2 3 2" xfId="4699" xr:uid="{00000000-0005-0000-0000-000057120000}"/>
    <cellStyle name="Normal 3 3 2 2 2 4" xfId="4700" xr:uid="{00000000-0005-0000-0000-000058120000}"/>
    <cellStyle name="Normal 3 3 2 2 2 4 2" xfId="4701" xr:uid="{00000000-0005-0000-0000-000059120000}"/>
    <cellStyle name="Normal 3 3 2 2 2 5" xfId="4702" xr:uid="{00000000-0005-0000-0000-00005A120000}"/>
    <cellStyle name="Normal 3 3 2 2 2 5 2" xfId="4703" xr:uid="{00000000-0005-0000-0000-00005B120000}"/>
    <cellStyle name="Normal 3 3 2 2 2 6" xfId="4704" xr:uid="{00000000-0005-0000-0000-00005C120000}"/>
    <cellStyle name="Normal 3 3 2 2 3" xfId="4705" xr:uid="{00000000-0005-0000-0000-00005D120000}"/>
    <cellStyle name="Normal 3 3 2 2 3 2" xfId="4706" xr:uid="{00000000-0005-0000-0000-00005E120000}"/>
    <cellStyle name="Normal 3 3 2 2 4" xfId="4707" xr:uid="{00000000-0005-0000-0000-00005F120000}"/>
    <cellStyle name="Normal 3 3 2 2 4 2" xfId="4708" xr:uid="{00000000-0005-0000-0000-000060120000}"/>
    <cellStyle name="Normal 3 3 2 2 5" xfId="4709" xr:uid="{00000000-0005-0000-0000-000061120000}"/>
    <cellStyle name="Normal 3 3 2 2 5 2" xfId="4710" xr:uid="{00000000-0005-0000-0000-000062120000}"/>
    <cellStyle name="Normal 3 3 2 2 6" xfId="4711" xr:uid="{00000000-0005-0000-0000-000063120000}"/>
    <cellStyle name="Normal 3 3 2 2 6 2" xfId="4712" xr:uid="{00000000-0005-0000-0000-000064120000}"/>
    <cellStyle name="Normal 3 3 2 2 7" xfId="4713" xr:uid="{00000000-0005-0000-0000-000065120000}"/>
    <cellStyle name="Normal 3 3 2 2 7 2" xfId="4714" xr:uid="{00000000-0005-0000-0000-000066120000}"/>
    <cellStyle name="Normal 3 3 2 2 8" xfId="4715" xr:uid="{00000000-0005-0000-0000-000067120000}"/>
    <cellStyle name="Normal 3 3 2 2 8 2" xfId="4716" xr:uid="{00000000-0005-0000-0000-000068120000}"/>
    <cellStyle name="Normal 3 3 2 2 9" xfId="4717" xr:uid="{00000000-0005-0000-0000-000069120000}"/>
    <cellStyle name="Normal 3 4" xfId="4690" xr:uid="{00000000-0005-0000-0000-00006A120000}"/>
    <cellStyle name="Normal 30" xfId="5573" xr:uid="{00000000-0005-0000-0000-00006B120000}"/>
    <cellStyle name="Normal 31" xfId="17" xr:uid="{00000000-0005-0000-0000-00006C120000}"/>
    <cellStyle name="Normal 32" xfId="5574" xr:uid="{00000000-0005-0000-0000-00006D120000}"/>
    <cellStyle name="Normal 4" xfId="6" xr:uid="{00000000-0005-0000-0000-00006E120000}"/>
    <cellStyle name="Normal 4 10" xfId="4719" xr:uid="{00000000-0005-0000-0000-00006F120000}"/>
    <cellStyle name="Normal 4 11" xfId="4720" xr:uid="{00000000-0005-0000-0000-000070120000}"/>
    <cellStyle name="Normal 4 12" xfId="4718" xr:uid="{00000000-0005-0000-0000-000071120000}"/>
    <cellStyle name="Normal 4 2" xfId="4721" xr:uid="{00000000-0005-0000-0000-000072120000}"/>
    <cellStyle name="Normal 4 2 10" xfId="4722" xr:uid="{00000000-0005-0000-0000-000073120000}"/>
    <cellStyle name="Normal 4 2 10 2" xfId="4723" xr:uid="{00000000-0005-0000-0000-000074120000}"/>
    <cellStyle name="Normal 4 2 11" xfId="4724" xr:uid="{00000000-0005-0000-0000-000075120000}"/>
    <cellStyle name="Normal 4 2 2" xfId="4725" xr:uid="{00000000-0005-0000-0000-000076120000}"/>
    <cellStyle name="Normal 4 2 2 2" xfId="4726" xr:uid="{00000000-0005-0000-0000-000077120000}"/>
    <cellStyle name="Normal 4 2 2 2 2" xfId="4727" xr:uid="{00000000-0005-0000-0000-000078120000}"/>
    <cellStyle name="Normal 4 2 2 3" xfId="4728" xr:uid="{00000000-0005-0000-0000-000079120000}"/>
    <cellStyle name="Normal 4 2 2 3 2" xfId="4729" xr:uid="{00000000-0005-0000-0000-00007A120000}"/>
    <cellStyle name="Normal 4 2 2 4" xfId="4730" xr:uid="{00000000-0005-0000-0000-00007B120000}"/>
    <cellStyle name="Normal 4 2 2 4 2" xfId="4731" xr:uid="{00000000-0005-0000-0000-00007C120000}"/>
    <cellStyle name="Normal 4 2 2 5" xfId="4732" xr:uid="{00000000-0005-0000-0000-00007D120000}"/>
    <cellStyle name="Normal 4 2 2 5 2" xfId="4733" xr:uid="{00000000-0005-0000-0000-00007E120000}"/>
    <cellStyle name="Normal 4 2 2 6" xfId="4734" xr:uid="{00000000-0005-0000-0000-00007F120000}"/>
    <cellStyle name="Normal 4 2 2 6 2" xfId="4735" xr:uid="{00000000-0005-0000-0000-000080120000}"/>
    <cellStyle name="Normal 4 2 2 7" xfId="4736" xr:uid="{00000000-0005-0000-0000-000081120000}"/>
    <cellStyle name="Normal 4 2 3" xfId="4737" xr:uid="{00000000-0005-0000-0000-000082120000}"/>
    <cellStyle name="Normal 4 2 3 2" xfId="4738" xr:uid="{00000000-0005-0000-0000-000083120000}"/>
    <cellStyle name="Normal 4 2 3 2 2" xfId="4739" xr:uid="{00000000-0005-0000-0000-000084120000}"/>
    <cellStyle name="Normal 4 2 3 3" xfId="4740" xr:uid="{00000000-0005-0000-0000-000085120000}"/>
    <cellStyle name="Normal 4 2 3 3 2" xfId="4741" xr:uid="{00000000-0005-0000-0000-000086120000}"/>
    <cellStyle name="Normal 4 2 3 4" xfId="4742" xr:uid="{00000000-0005-0000-0000-000087120000}"/>
    <cellStyle name="Normal 4 2 3 4 2" xfId="4743" xr:uid="{00000000-0005-0000-0000-000088120000}"/>
    <cellStyle name="Normal 4 2 3 5" xfId="4744" xr:uid="{00000000-0005-0000-0000-000089120000}"/>
    <cellStyle name="Normal 4 2 3 5 2" xfId="4745" xr:uid="{00000000-0005-0000-0000-00008A120000}"/>
    <cellStyle name="Normal 4 2 3 6" xfId="4746" xr:uid="{00000000-0005-0000-0000-00008B120000}"/>
    <cellStyle name="Normal 4 2 4" xfId="4747" xr:uid="{00000000-0005-0000-0000-00008C120000}"/>
    <cellStyle name="Normal 4 2 4 2" xfId="4748" xr:uid="{00000000-0005-0000-0000-00008D120000}"/>
    <cellStyle name="Normal 4 2 5" xfId="4749" xr:uid="{00000000-0005-0000-0000-00008E120000}"/>
    <cellStyle name="Normal 4 2 5 2" xfId="4750" xr:uid="{00000000-0005-0000-0000-00008F120000}"/>
    <cellStyle name="Normal 4 2 6" xfId="4751" xr:uid="{00000000-0005-0000-0000-000090120000}"/>
    <cellStyle name="Normal 4 2 6 2" xfId="4752" xr:uid="{00000000-0005-0000-0000-000091120000}"/>
    <cellStyle name="Normal 4 2 7" xfId="4753" xr:uid="{00000000-0005-0000-0000-000092120000}"/>
    <cellStyle name="Normal 4 2 7 2" xfId="4754" xr:uid="{00000000-0005-0000-0000-000093120000}"/>
    <cellStyle name="Normal 4 2 8" xfId="4755" xr:uid="{00000000-0005-0000-0000-000094120000}"/>
    <cellStyle name="Normal 4 2 9" xfId="4756" xr:uid="{00000000-0005-0000-0000-000095120000}"/>
    <cellStyle name="Normal 4 2 9 2" xfId="4757" xr:uid="{00000000-0005-0000-0000-000096120000}"/>
    <cellStyle name="Normal 4 3" xfId="4758" xr:uid="{00000000-0005-0000-0000-000097120000}"/>
    <cellStyle name="Normal 4 3 2" xfId="4759" xr:uid="{00000000-0005-0000-0000-000098120000}"/>
    <cellStyle name="Normal 4 3 2 2" xfId="4760" xr:uid="{00000000-0005-0000-0000-000099120000}"/>
    <cellStyle name="Normal 4 3 3" xfId="4761" xr:uid="{00000000-0005-0000-0000-00009A120000}"/>
    <cellStyle name="Normal 4 3 3 2" xfId="4762" xr:uid="{00000000-0005-0000-0000-00009B120000}"/>
    <cellStyle name="Normal 4 3 4" xfId="4763" xr:uid="{00000000-0005-0000-0000-00009C120000}"/>
    <cellStyle name="Normal 4 3 4 2" xfId="4764" xr:uid="{00000000-0005-0000-0000-00009D120000}"/>
    <cellStyle name="Normal 4 3 5" xfId="4765" xr:uid="{00000000-0005-0000-0000-00009E120000}"/>
    <cellStyle name="Normal 4 3 5 2" xfId="4766" xr:uid="{00000000-0005-0000-0000-00009F120000}"/>
    <cellStyle name="Normal 4 3 6" xfId="4767" xr:uid="{00000000-0005-0000-0000-0000A0120000}"/>
    <cellStyle name="Normal 4 3 6 2" xfId="4768" xr:uid="{00000000-0005-0000-0000-0000A1120000}"/>
    <cellStyle name="Normal 4 3 7" xfId="4769" xr:uid="{00000000-0005-0000-0000-0000A2120000}"/>
    <cellStyle name="Normal 4 4" xfId="4770" xr:uid="{00000000-0005-0000-0000-0000A3120000}"/>
    <cellStyle name="Normal 4 4 2" xfId="4771" xr:uid="{00000000-0005-0000-0000-0000A4120000}"/>
    <cellStyle name="Normal 4 4 2 2" xfId="4772" xr:uid="{00000000-0005-0000-0000-0000A5120000}"/>
    <cellStyle name="Normal 4 4 3" xfId="4773" xr:uid="{00000000-0005-0000-0000-0000A6120000}"/>
    <cellStyle name="Normal 4 4 3 2" xfId="4774" xr:uid="{00000000-0005-0000-0000-0000A7120000}"/>
    <cellStyle name="Normal 4 4 4" xfId="4775" xr:uid="{00000000-0005-0000-0000-0000A8120000}"/>
    <cellStyle name="Normal 4 4 4 2" xfId="4776" xr:uid="{00000000-0005-0000-0000-0000A9120000}"/>
    <cellStyle name="Normal 4 4 5" xfId="4777" xr:uid="{00000000-0005-0000-0000-0000AA120000}"/>
    <cellStyle name="Normal 4 4 5 2" xfId="4778" xr:uid="{00000000-0005-0000-0000-0000AB120000}"/>
    <cellStyle name="Normal 4 4 6" xfId="4779" xr:uid="{00000000-0005-0000-0000-0000AC120000}"/>
    <cellStyle name="Normal 4 4 6 2" xfId="4780" xr:uid="{00000000-0005-0000-0000-0000AD120000}"/>
    <cellStyle name="Normal 4 5" xfId="4781" xr:uid="{00000000-0005-0000-0000-0000AE120000}"/>
    <cellStyle name="Normal 4 5 2" xfId="4782" xr:uid="{00000000-0005-0000-0000-0000AF120000}"/>
    <cellStyle name="Normal 4 5 2 2" xfId="4783" xr:uid="{00000000-0005-0000-0000-0000B0120000}"/>
    <cellStyle name="Normal 4 5 3" xfId="4784" xr:uid="{00000000-0005-0000-0000-0000B1120000}"/>
    <cellStyle name="Normal 4 6" xfId="4785" xr:uid="{00000000-0005-0000-0000-0000B2120000}"/>
    <cellStyle name="Normal 4 6 2" xfId="4786" xr:uid="{00000000-0005-0000-0000-0000B3120000}"/>
    <cellStyle name="Normal 4 7" xfId="4787" xr:uid="{00000000-0005-0000-0000-0000B4120000}"/>
    <cellStyle name="Normal 4 7 2" xfId="4788" xr:uid="{00000000-0005-0000-0000-0000B5120000}"/>
    <cellStyle name="Normal 4 8" xfId="4789" xr:uid="{00000000-0005-0000-0000-0000B6120000}"/>
    <cellStyle name="Normal 4 8 2" xfId="4790" xr:uid="{00000000-0005-0000-0000-0000B7120000}"/>
    <cellStyle name="Normal 4 9" xfId="4791" xr:uid="{00000000-0005-0000-0000-0000B8120000}"/>
    <cellStyle name="Normal 5" xfId="13" xr:uid="{00000000-0005-0000-0000-0000B9120000}"/>
    <cellStyle name="Normal 5 10" xfId="4793" xr:uid="{00000000-0005-0000-0000-0000BA120000}"/>
    <cellStyle name="Normal 5 11" xfId="4794" xr:uid="{00000000-0005-0000-0000-0000BB120000}"/>
    <cellStyle name="Normal 5 12" xfId="4792" xr:uid="{00000000-0005-0000-0000-0000BC120000}"/>
    <cellStyle name="Normal 5 2" xfId="4795" xr:uid="{00000000-0005-0000-0000-0000BD120000}"/>
    <cellStyle name="Normal 5 2 10" xfId="4796" xr:uid="{00000000-0005-0000-0000-0000BE120000}"/>
    <cellStyle name="Normal 5 2 2" xfId="4797" xr:uid="{00000000-0005-0000-0000-0000BF120000}"/>
    <cellStyle name="Normal 5 2 2 2" xfId="4798" xr:uid="{00000000-0005-0000-0000-0000C0120000}"/>
    <cellStyle name="Normal 5 2 2 2 2" xfId="4799" xr:uid="{00000000-0005-0000-0000-0000C1120000}"/>
    <cellStyle name="Normal 5 2 2 3" xfId="4800" xr:uid="{00000000-0005-0000-0000-0000C2120000}"/>
    <cellStyle name="Normal 5 2 2 3 2" xfId="4801" xr:uid="{00000000-0005-0000-0000-0000C3120000}"/>
    <cellStyle name="Normal 5 2 2 4" xfId="4802" xr:uid="{00000000-0005-0000-0000-0000C4120000}"/>
    <cellStyle name="Normal 5 2 2 4 2" xfId="4803" xr:uid="{00000000-0005-0000-0000-0000C5120000}"/>
    <cellStyle name="Normal 5 2 2 5" xfId="4804" xr:uid="{00000000-0005-0000-0000-0000C6120000}"/>
    <cellStyle name="Normal 5 2 2 5 2" xfId="4805" xr:uid="{00000000-0005-0000-0000-0000C7120000}"/>
    <cellStyle name="Normal 5 2 2 6" xfId="4806" xr:uid="{00000000-0005-0000-0000-0000C8120000}"/>
    <cellStyle name="Normal 5 2 3" xfId="4807" xr:uid="{00000000-0005-0000-0000-0000C9120000}"/>
    <cellStyle name="Normal 5 2 3 2" xfId="4808" xr:uid="{00000000-0005-0000-0000-0000CA120000}"/>
    <cellStyle name="Normal 5 2 3 2 2" xfId="4809" xr:uid="{00000000-0005-0000-0000-0000CB120000}"/>
    <cellStyle name="Normal 5 2 3 3" xfId="4810" xr:uid="{00000000-0005-0000-0000-0000CC120000}"/>
    <cellStyle name="Normal 5 2 3 3 2" xfId="4811" xr:uid="{00000000-0005-0000-0000-0000CD120000}"/>
    <cellStyle name="Normal 5 2 3 4" xfId="4812" xr:uid="{00000000-0005-0000-0000-0000CE120000}"/>
    <cellStyle name="Normal 5 2 3 4 2" xfId="4813" xr:uid="{00000000-0005-0000-0000-0000CF120000}"/>
    <cellStyle name="Normal 5 2 3 5" xfId="4814" xr:uid="{00000000-0005-0000-0000-0000D0120000}"/>
    <cellStyle name="Normal 5 2 3 5 2" xfId="4815" xr:uid="{00000000-0005-0000-0000-0000D1120000}"/>
    <cellStyle name="Normal 5 2 3 6" xfId="4816" xr:uid="{00000000-0005-0000-0000-0000D2120000}"/>
    <cellStyle name="Normal 5 2 4" xfId="4817" xr:uid="{00000000-0005-0000-0000-0000D3120000}"/>
    <cellStyle name="Normal 5 2 4 2" xfId="4818" xr:uid="{00000000-0005-0000-0000-0000D4120000}"/>
    <cellStyle name="Normal 5 2 5" xfId="4819" xr:uid="{00000000-0005-0000-0000-0000D5120000}"/>
    <cellStyle name="Normal 5 2 5 2" xfId="4820" xr:uid="{00000000-0005-0000-0000-0000D6120000}"/>
    <cellStyle name="Normal 5 2 6" xfId="4821" xr:uid="{00000000-0005-0000-0000-0000D7120000}"/>
    <cellStyle name="Normal 5 2 6 2" xfId="4822" xr:uid="{00000000-0005-0000-0000-0000D8120000}"/>
    <cellStyle name="Normal 5 2 7" xfId="4823" xr:uid="{00000000-0005-0000-0000-0000D9120000}"/>
    <cellStyle name="Normal 5 2 7 2" xfId="4824" xr:uid="{00000000-0005-0000-0000-0000DA120000}"/>
    <cellStyle name="Normal 5 2 8" xfId="4825" xr:uid="{00000000-0005-0000-0000-0000DB120000}"/>
    <cellStyle name="Normal 5 2 8 2" xfId="4826" xr:uid="{00000000-0005-0000-0000-0000DC120000}"/>
    <cellStyle name="Normal 5 2 9" xfId="4827" xr:uid="{00000000-0005-0000-0000-0000DD120000}"/>
    <cellStyle name="Normal 5 2 9 2" xfId="4828" xr:uid="{00000000-0005-0000-0000-0000DE120000}"/>
    <cellStyle name="Normal 5 3" xfId="4829" xr:uid="{00000000-0005-0000-0000-0000DF120000}"/>
    <cellStyle name="Normal 5 3 2" xfId="4830" xr:uid="{00000000-0005-0000-0000-0000E0120000}"/>
    <cellStyle name="Normal 5 3 2 2" xfId="4831" xr:uid="{00000000-0005-0000-0000-0000E1120000}"/>
    <cellStyle name="Normal 5 3 3" xfId="4832" xr:uid="{00000000-0005-0000-0000-0000E2120000}"/>
    <cellStyle name="Normal 5 3 3 2" xfId="4833" xr:uid="{00000000-0005-0000-0000-0000E3120000}"/>
    <cellStyle name="Normal 5 3 4" xfId="4834" xr:uid="{00000000-0005-0000-0000-0000E4120000}"/>
    <cellStyle name="Normal 5 3 4 2" xfId="4835" xr:uid="{00000000-0005-0000-0000-0000E5120000}"/>
    <cellStyle name="Normal 5 3 5" xfId="4836" xr:uid="{00000000-0005-0000-0000-0000E6120000}"/>
    <cellStyle name="Normal 5 3 5 2" xfId="4837" xr:uid="{00000000-0005-0000-0000-0000E7120000}"/>
    <cellStyle name="Normal 5 3 6" xfId="4838" xr:uid="{00000000-0005-0000-0000-0000E8120000}"/>
    <cellStyle name="Normal 5 3 6 2" xfId="4839" xr:uid="{00000000-0005-0000-0000-0000E9120000}"/>
    <cellStyle name="Normal 5 3 7" xfId="4840" xr:uid="{00000000-0005-0000-0000-0000EA120000}"/>
    <cellStyle name="Normal 5 3 7 2" xfId="4841" xr:uid="{00000000-0005-0000-0000-0000EB120000}"/>
    <cellStyle name="Normal 5 3 8" xfId="4842" xr:uid="{00000000-0005-0000-0000-0000EC120000}"/>
    <cellStyle name="Normal 5 4" xfId="4843" xr:uid="{00000000-0005-0000-0000-0000ED120000}"/>
    <cellStyle name="Normal 5 4 2" xfId="4844" xr:uid="{00000000-0005-0000-0000-0000EE120000}"/>
    <cellStyle name="Normal 5 4 2 2" xfId="4845" xr:uid="{00000000-0005-0000-0000-0000EF120000}"/>
    <cellStyle name="Normal 5 4 3" xfId="4846" xr:uid="{00000000-0005-0000-0000-0000F0120000}"/>
    <cellStyle name="Normal 5 4 3 2" xfId="4847" xr:uid="{00000000-0005-0000-0000-0000F1120000}"/>
    <cellStyle name="Normal 5 4 4" xfId="4848" xr:uid="{00000000-0005-0000-0000-0000F2120000}"/>
    <cellStyle name="Normal 5 4 4 2" xfId="4849" xr:uid="{00000000-0005-0000-0000-0000F3120000}"/>
    <cellStyle name="Normal 5 4 5" xfId="4850" xr:uid="{00000000-0005-0000-0000-0000F4120000}"/>
    <cellStyle name="Normal 5 4 5 2" xfId="4851" xr:uid="{00000000-0005-0000-0000-0000F5120000}"/>
    <cellStyle name="Normal 5 4 6" xfId="4852" xr:uid="{00000000-0005-0000-0000-0000F6120000}"/>
    <cellStyle name="Normal 5 4 6 2" xfId="4853" xr:uid="{00000000-0005-0000-0000-0000F7120000}"/>
    <cellStyle name="Normal 5 5" xfId="4854" xr:uid="{00000000-0005-0000-0000-0000F8120000}"/>
    <cellStyle name="Normal 5 5 2" xfId="4855" xr:uid="{00000000-0005-0000-0000-0000F9120000}"/>
    <cellStyle name="Normal 5 5 2 2" xfId="4856" xr:uid="{00000000-0005-0000-0000-0000FA120000}"/>
    <cellStyle name="Normal 5 6" xfId="4857" xr:uid="{00000000-0005-0000-0000-0000FB120000}"/>
    <cellStyle name="Normal 5 6 2" xfId="4858" xr:uid="{00000000-0005-0000-0000-0000FC120000}"/>
    <cellStyle name="Normal 5 7" xfId="4859" xr:uid="{00000000-0005-0000-0000-0000FD120000}"/>
    <cellStyle name="Normal 5 8" xfId="4860" xr:uid="{00000000-0005-0000-0000-0000FE120000}"/>
    <cellStyle name="Normal 5 8 2" xfId="4861" xr:uid="{00000000-0005-0000-0000-0000FF120000}"/>
    <cellStyle name="Normal 5 9" xfId="4862" xr:uid="{00000000-0005-0000-0000-000000130000}"/>
    <cellStyle name="Normal 5 9 2" xfId="4863" xr:uid="{00000000-0005-0000-0000-000001130000}"/>
    <cellStyle name="Normal 6" xfId="4864" xr:uid="{00000000-0005-0000-0000-000002130000}"/>
    <cellStyle name="Normal 6 10" xfId="4865" xr:uid="{00000000-0005-0000-0000-000003130000}"/>
    <cellStyle name="Normal 6 11" xfId="4866" xr:uid="{00000000-0005-0000-0000-000004130000}"/>
    <cellStyle name="Normal 6 12" xfId="4867" xr:uid="{00000000-0005-0000-0000-000005130000}"/>
    <cellStyle name="Normal 6 2" xfId="4868" xr:uid="{00000000-0005-0000-0000-000006130000}"/>
    <cellStyle name="Normal 6 2 10" xfId="4869" xr:uid="{00000000-0005-0000-0000-000007130000}"/>
    <cellStyle name="Normal 6 2 2" xfId="4870" xr:uid="{00000000-0005-0000-0000-000008130000}"/>
    <cellStyle name="Normal 6 2 2 2" xfId="4871" xr:uid="{00000000-0005-0000-0000-000009130000}"/>
    <cellStyle name="Normal 6 2 2 2 2" xfId="4872" xr:uid="{00000000-0005-0000-0000-00000A130000}"/>
    <cellStyle name="Normal 6 2 2 3" xfId="4873" xr:uid="{00000000-0005-0000-0000-00000B130000}"/>
    <cellStyle name="Normal 6 2 2 3 2" xfId="4874" xr:uid="{00000000-0005-0000-0000-00000C130000}"/>
    <cellStyle name="Normal 6 2 2 4" xfId="4875" xr:uid="{00000000-0005-0000-0000-00000D130000}"/>
    <cellStyle name="Normal 6 2 2 4 2" xfId="4876" xr:uid="{00000000-0005-0000-0000-00000E130000}"/>
    <cellStyle name="Normal 6 2 2 5" xfId="4877" xr:uid="{00000000-0005-0000-0000-00000F130000}"/>
    <cellStyle name="Normal 6 2 2 5 2" xfId="4878" xr:uid="{00000000-0005-0000-0000-000010130000}"/>
    <cellStyle name="Normal 6 2 2 6" xfId="4879" xr:uid="{00000000-0005-0000-0000-000011130000}"/>
    <cellStyle name="Normal 6 2 3" xfId="4880" xr:uid="{00000000-0005-0000-0000-000012130000}"/>
    <cellStyle name="Normal 6 2 3 2" xfId="4881" xr:uid="{00000000-0005-0000-0000-000013130000}"/>
    <cellStyle name="Normal 6 2 3 2 2" xfId="4882" xr:uid="{00000000-0005-0000-0000-000014130000}"/>
    <cellStyle name="Normal 6 2 3 3" xfId="4883" xr:uid="{00000000-0005-0000-0000-000015130000}"/>
    <cellStyle name="Normal 6 2 3 3 2" xfId="4884" xr:uid="{00000000-0005-0000-0000-000016130000}"/>
    <cellStyle name="Normal 6 2 3 4" xfId="4885" xr:uid="{00000000-0005-0000-0000-000017130000}"/>
    <cellStyle name="Normal 6 2 3 4 2" xfId="4886" xr:uid="{00000000-0005-0000-0000-000018130000}"/>
    <cellStyle name="Normal 6 2 3 5" xfId="4887" xr:uid="{00000000-0005-0000-0000-000019130000}"/>
    <cellStyle name="Normal 6 2 3 5 2" xfId="4888" xr:uid="{00000000-0005-0000-0000-00001A130000}"/>
    <cellStyle name="Normal 6 2 3 6" xfId="4889" xr:uid="{00000000-0005-0000-0000-00001B130000}"/>
    <cellStyle name="Normal 6 2 4" xfId="4890" xr:uid="{00000000-0005-0000-0000-00001C130000}"/>
    <cellStyle name="Normal 6 2 4 2" xfId="4891" xr:uid="{00000000-0005-0000-0000-00001D130000}"/>
    <cellStyle name="Normal 6 2 5" xfId="4892" xr:uid="{00000000-0005-0000-0000-00001E130000}"/>
    <cellStyle name="Normal 6 2 5 2" xfId="4893" xr:uid="{00000000-0005-0000-0000-00001F130000}"/>
    <cellStyle name="Normal 6 2 6" xfId="4894" xr:uid="{00000000-0005-0000-0000-000020130000}"/>
    <cellStyle name="Normal 6 2 6 2" xfId="4895" xr:uid="{00000000-0005-0000-0000-000021130000}"/>
    <cellStyle name="Normal 6 2 7" xfId="4896" xr:uid="{00000000-0005-0000-0000-000022130000}"/>
    <cellStyle name="Normal 6 2 7 2" xfId="4897" xr:uid="{00000000-0005-0000-0000-000023130000}"/>
    <cellStyle name="Normal 6 2 8" xfId="4898" xr:uid="{00000000-0005-0000-0000-000024130000}"/>
    <cellStyle name="Normal 6 2 8 2" xfId="4899" xr:uid="{00000000-0005-0000-0000-000025130000}"/>
    <cellStyle name="Normal 6 2 9" xfId="4900" xr:uid="{00000000-0005-0000-0000-000026130000}"/>
    <cellStyle name="Normal 6 2 9 2" xfId="4901" xr:uid="{00000000-0005-0000-0000-000027130000}"/>
    <cellStyle name="Normal 6 3" xfId="4902" xr:uid="{00000000-0005-0000-0000-000028130000}"/>
    <cellStyle name="Normal 6 3 2" xfId="4903" xr:uid="{00000000-0005-0000-0000-000029130000}"/>
    <cellStyle name="Normal 6 3 2 2" xfId="4904" xr:uid="{00000000-0005-0000-0000-00002A130000}"/>
    <cellStyle name="Normal 6 3 3" xfId="4905" xr:uid="{00000000-0005-0000-0000-00002B130000}"/>
    <cellStyle name="Normal 6 3 3 2" xfId="4906" xr:uid="{00000000-0005-0000-0000-00002C130000}"/>
    <cellStyle name="Normal 6 3 4" xfId="4907" xr:uid="{00000000-0005-0000-0000-00002D130000}"/>
    <cellStyle name="Normal 6 3 4 2" xfId="4908" xr:uid="{00000000-0005-0000-0000-00002E130000}"/>
    <cellStyle name="Normal 6 3 5" xfId="4909" xr:uid="{00000000-0005-0000-0000-00002F130000}"/>
    <cellStyle name="Normal 6 3 5 2" xfId="4910" xr:uid="{00000000-0005-0000-0000-000030130000}"/>
    <cellStyle name="Normal 6 3 6" xfId="4911" xr:uid="{00000000-0005-0000-0000-000031130000}"/>
    <cellStyle name="Normal 6 3 6 2" xfId="4912" xr:uid="{00000000-0005-0000-0000-000032130000}"/>
    <cellStyle name="Normal 6 3 7" xfId="4913" xr:uid="{00000000-0005-0000-0000-000033130000}"/>
    <cellStyle name="Normal 6 3 7 2" xfId="4914" xr:uid="{00000000-0005-0000-0000-000034130000}"/>
    <cellStyle name="Normal 6 3 8" xfId="4915" xr:uid="{00000000-0005-0000-0000-000035130000}"/>
    <cellStyle name="Normal 6 4" xfId="4916" xr:uid="{00000000-0005-0000-0000-000036130000}"/>
    <cellStyle name="Normal 6 4 2" xfId="4917" xr:uid="{00000000-0005-0000-0000-000037130000}"/>
    <cellStyle name="Normal 6 4 2 2" xfId="4918" xr:uid="{00000000-0005-0000-0000-000038130000}"/>
    <cellStyle name="Normal 6 4 3" xfId="4919" xr:uid="{00000000-0005-0000-0000-000039130000}"/>
    <cellStyle name="Normal 6 4 3 2" xfId="4920" xr:uid="{00000000-0005-0000-0000-00003A130000}"/>
    <cellStyle name="Normal 6 4 4" xfId="4921" xr:uid="{00000000-0005-0000-0000-00003B130000}"/>
    <cellStyle name="Normal 6 4 4 2" xfId="4922" xr:uid="{00000000-0005-0000-0000-00003C130000}"/>
    <cellStyle name="Normal 6 4 5" xfId="4923" xr:uid="{00000000-0005-0000-0000-00003D130000}"/>
    <cellStyle name="Normal 6 4 5 2" xfId="4924" xr:uid="{00000000-0005-0000-0000-00003E130000}"/>
    <cellStyle name="Normal 6 4 6" xfId="4925" xr:uid="{00000000-0005-0000-0000-00003F130000}"/>
    <cellStyle name="Normal 6 4 6 2" xfId="4926" xr:uid="{00000000-0005-0000-0000-000040130000}"/>
    <cellStyle name="Normal 6 5" xfId="4927" xr:uid="{00000000-0005-0000-0000-000041130000}"/>
    <cellStyle name="Normal 6 5 2" xfId="4928" xr:uid="{00000000-0005-0000-0000-000042130000}"/>
    <cellStyle name="Normal 6 5 2 2" xfId="4929" xr:uid="{00000000-0005-0000-0000-000043130000}"/>
    <cellStyle name="Normal 6 6" xfId="4930" xr:uid="{00000000-0005-0000-0000-000044130000}"/>
    <cellStyle name="Normal 6 6 2" xfId="4931" xr:uid="{00000000-0005-0000-0000-000045130000}"/>
    <cellStyle name="Normal 6 7" xfId="4932" xr:uid="{00000000-0005-0000-0000-000046130000}"/>
    <cellStyle name="Normal 6 8" xfId="4933" xr:uid="{00000000-0005-0000-0000-000047130000}"/>
    <cellStyle name="Normal 6 8 2" xfId="4934" xr:uid="{00000000-0005-0000-0000-000048130000}"/>
    <cellStyle name="Normal 6 9" xfId="4935" xr:uid="{00000000-0005-0000-0000-000049130000}"/>
    <cellStyle name="Normal 6 9 2" xfId="4936" xr:uid="{00000000-0005-0000-0000-00004A130000}"/>
    <cellStyle name="Normal 7" xfId="4937" xr:uid="{00000000-0005-0000-0000-00004B130000}"/>
    <cellStyle name="Normal 7 2" xfId="4938" xr:uid="{00000000-0005-0000-0000-00004C130000}"/>
    <cellStyle name="Normal 7 2 2" xfId="4939" xr:uid="{00000000-0005-0000-0000-00004D130000}"/>
    <cellStyle name="Normal 7 2 2 2" xfId="4940" xr:uid="{00000000-0005-0000-0000-00004E130000}"/>
    <cellStyle name="Normal 7 2 2 2 2" xfId="4941" xr:uid="{00000000-0005-0000-0000-00004F130000}"/>
    <cellStyle name="Normal 7 2 2 3" xfId="4942" xr:uid="{00000000-0005-0000-0000-000050130000}"/>
    <cellStyle name="Normal 7 2 2 3 2" xfId="4943" xr:uid="{00000000-0005-0000-0000-000051130000}"/>
    <cellStyle name="Normal 7 2 2 4" xfId="4944" xr:uid="{00000000-0005-0000-0000-000052130000}"/>
    <cellStyle name="Normal 7 2 2 4 2" xfId="4945" xr:uid="{00000000-0005-0000-0000-000053130000}"/>
    <cellStyle name="Normal 7 2 2 5" xfId="4946" xr:uid="{00000000-0005-0000-0000-000054130000}"/>
    <cellStyle name="Normal 7 2 2 5 2" xfId="4947" xr:uid="{00000000-0005-0000-0000-000055130000}"/>
    <cellStyle name="Normal 7 2 2 6" xfId="4948" xr:uid="{00000000-0005-0000-0000-000056130000}"/>
    <cellStyle name="Normal 7 2 3" xfId="4949" xr:uid="{00000000-0005-0000-0000-000057130000}"/>
    <cellStyle name="Normal 7 2 3 2" xfId="4950" xr:uid="{00000000-0005-0000-0000-000058130000}"/>
    <cellStyle name="Normal 7 2 4" xfId="4951" xr:uid="{00000000-0005-0000-0000-000059130000}"/>
    <cellStyle name="Normal 7 2 4 2" xfId="4952" xr:uid="{00000000-0005-0000-0000-00005A130000}"/>
    <cellStyle name="Normal 7 2 5" xfId="4953" xr:uid="{00000000-0005-0000-0000-00005B130000}"/>
    <cellStyle name="Normal 7 2 5 2" xfId="4954" xr:uid="{00000000-0005-0000-0000-00005C130000}"/>
    <cellStyle name="Normal 7 2 6" xfId="4955" xr:uid="{00000000-0005-0000-0000-00005D130000}"/>
    <cellStyle name="Normal 7 2 6 2" xfId="4956" xr:uid="{00000000-0005-0000-0000-00005E130000}"/>
    <cellStyle name="Normal 7 2 7" xfId="4957" xr:uid="{00000000-0005-0000-0000-00005F130000}"/>
    <cellStyle name="Normal 7 2 7 2" xfId="4958" xr:uid="{00000000-0005-0000-0000-000060130000}"/>
    <cellStyle name="Normal 7 2 8" xfId="4959" xr:uid="{00000000-0005-0000-0000-000061130000}"/>
    <cellStyle name="Normal 7 2 8 2" xfId="4960" xr:uid="{00000000-0005-0000-0000-000062130000}"/>
    <cellStyle name="Normal 7 2 9" xfId="4961" xr:uid="{00000000-0005-0000-0000-000063130000}"/>
    <cellStyle name="Normal 7 3" xfId="4962" xr:uid="{00000000-0005-0000-0000-000064130000}"/>
    <cellStyle name="Normal 7 4" xfId="4963" xr:uid="{00000000-0005-0000-0000-000065130000}"/>
    <cellStyle name="Normal 7 5" xfId="4964" xr:uid="{00000000-0005-0000-0000-000066130000}"/>
    <cellStyle name="Normal 7 5 2" xfId="4965" xr:uid="{00000000-0005-0000-0000-000067130000}"/>
    <cellStyle name="Normal 7 6" xfId="4966" xr:uid="{00000000-0005-0000-0000-000068130000}"/>
    <cellStyle name="Normal 7 6 2" xfId="4967" xr:uid="{00000000-0005-0000-0000-000069130000}"/>
    <cellStyle name="Normal 7 7" xfId="4968" xr:uid="{00000000-0005-0000-0000-00006A130000}"/>
    <cellStyle name="Normal 8" xfId="4969" xr:uid="{00000000-0005-0000-0000-00006B130000}"/>
    <cellStyle name="Normal 8 10" xfId="4970" xr:uid="{00000000-0005-0000-0000-00006C130000}"/>
    <cellStyle name="Normal 8 10 2" xfId="4971" xr:uid="{00000000-0005-0000-0000-00006D130000}"/>
    <cellStyle name="Normal 8 11" xfId="4972" xr:uid="{00000000-0005-0000-0000-00006E130000}"/>
    <cellStyle name="Normal 8 2" xfId="4973" xr:uid="{00000000-0005-0000-0000-00006F130000}"/>
    <cellStyle name="Normal 8 2 2" xfId="4974" xr:uid="{00000000-0005-0000-0000-000070130000}"/>
    <cellStyle name="Normal 8 2 2 2" xfId="4975" xr:uid="{00000000-0005-0000-0000-000071130000}"/>
    <cellStyle name="Normal 8 2 3" xfId="4976" xr:uid="{00000000-0005-0000-0000-000072130000}"/>
    <cellStyle name="Normal 8 2 3 2" xfId="4977" xr:uid="{00000000-0005-0000-0000-000073130000}"/>
    <cellStyle name="Normal 8 2 4" xfId="4978" xr:uid="{00000000-0005-0000-0000-000074130000}"/>
    <cellStyle name="Normal 8 2 4 2" xfId="4979" xr:uid="{00000000-0005-0000-0000-000075130000}"/>
    <cellStyle name="Normal 8 2 5" xfId="4980" xr:uid="{00000000-0005-0000-0000-000076130000}"/>
    <cellStyle name="Normal 8 2 5 2" xfId="4981" xr:uid="{00000000-0005-0000-0000-000077130000}"/>
    <cellStyle name="Normal 8 2 6" xfId="4982" xr:uid="{00000000-0005-0000-0000-000078130000}"/>
    <cellStyle name="Normal 8 3" xfId="4983" xr:uid="{00000000-0005-0000-0000-000079130000}"/>
    <cellStyle name="Normal 8 3 2" xfId="4984" xr:uid="{00000000-0005-0000-0000-00007A130000}"/>
    <cellStyle name="Normal 8 3 2 2" xfId="4985" xr:uid="{00000000-0005-0000-0000-00007B130000}"/>
    <cellStyle name="Normal 8 3 3" xfId="4986" xr:uid="{00000000-0005-0000-0000-00007C130000}"/>
    <cellStyle name="Normal 8 3 3 2" xfId="4987" xr:uid="{00000000-0005-0000-0000-00007D130000}"/>
    <cellStyle name="Normal 8 3 4" xfId="4988" xr:uid="{00000000-0005-0000-0000-00007E130000}"/>
    <cellStyle name="Normal 8 3 4 2" xfId="4989" xr:uid="{00000000-0005-0000-0000-00007F130000}"/>
    <cellStyle name="Normal 8 3 5" xfId="4990" xr:uid="{00000000-0005-0000-0000-000080130000}"/>
    <cellStyle name="Normal 8 3 5 2" xfId="4991" xr:uid="{00000000-0005-0000-0000-000081130000}"/>
    <cellStyle name="Normal 8 3 6" xfId="4992" xr:uid="{00000000-0005-0000-0000-000082130000}"/>
    <cellStyle name="Normal 8 4" xfId="4993" xr:uid="{00000000-0005-0000-0000-000083130000}"/>
    <cellStyle name="Normal 8 4 2" xfId="4994" xr:uid="{00000000-0005-0000-0000-000084130000}"/>
    <cellStyle name="Normal 8 5" xfId="4995" xr:uid="{00000000-0005-0000-0000-000085130000}"/>
    <cellStyle name="Normal 8 5 2" xfId="4996" xr:uid="{00000000-0005-0000-0000-000086130000}"/>
    <cellStyle name="Normal 8 6" xfId="4997" xr:uid="{00000000-0005-0000-0000-000087130000}"/>
    <cellStyle name="Normal 8 6 2" xfId="4998" xr:uid="{00000000-0005-0000-0000-000088130000}"/>
    <cellStyle name="Normal 8 7" xfId="4999" xr:uid="{00000000-0005-0000-0000-000089130000}"/>
    <cellStyle name="Normal 8 7 2" xfId="5000" xr:uid="{00000000-0005-0000-0000-00008A130000}"/>
    <cellStyle name="Normal 8 8" xfId="5001" xr:uid="{00000000-0005-0000-0000-00008B130000}"/>
    <cellStyle name="Normal 8 9" xfId="5002" xr:uid="{00000000-0005-0000-0000-00008C130000}"/>
    <cellStyle name="Normal 8 9 2" xfId="5003" xr:uid="{00000000-0005-0000-0000-00008D130000}"/>
    <cellStyle name="Normal 9" xfId="5004" xr:uid="{00000000-0005-0000-0000-00008E130000}"/>
    <cellStyle name="Normal 9 10" xfId="5005" xr:uid="{00000000-0005-0000-0000-00008F130000}"/>
    <cellStyle name="Normal 9 10 2" xfId="5006" xr:uid="{00000000-0005-0000-0000-000090130000}"/>
    <cellStyle name="Normal 9 11" xfId="5007" xr:uid="{00000000-0005-0000-0000-000091130000}"/>
    <cellStyle name="Normal 9 2" xfId="5008" xr:uid="{00000000-0005-0000-0000-000092130000}"/>
    <cellStyle name="Normal 9 2 2" xfId="5009" xr:uid="{00000000-0005-0000-0000-000093130000}"/>
    <cellStyle name="Normal 9 2 2 2" xfId="5010" xr:uid="{00000000-0005-0000-0000-000094130000}"/>
    <cellStyle name="Normal 9 2 3" xfId="5011" xr:uid="{00000000-0005-0000-0000-000095130000}"/>
    <cellStyle name="Normal 9 2 3 2" xfId="5012" xr:uid="{00000000-0005-0000-0000-000096130000}"/>
    <cellStyle name="Normal 9 2 4" xfId="5013" xr:uid="{00000000-0005-0000-0000-000097130000}"/>
    <cellStyle name="Normal 9 2 4 2" xfId="5014" xr:uid="{00000000-0005-0000-0000-000098130000}"/>
    <cellStyle name="Normal 9 2 5" xfId="5015" xr:uid="{00000000-0005-0000-0000-000099130000}"/>
    <cellStyle name="Normal 9 2 5 2" xfId="5016" xr:uid="{00000000-0005-0000-0000-00009A130000}"/>
    <cellStyle name="Normal 9 2 6" xfId="5017" xr:uid="{00000000-0005-0000-0000-00009B130000}"/>
    <cellStyle name="Normal 9 3" xfId="5018" xr:uid="{00000000-0005-0000-0000-00009C130000}"/>
    <cellStyle name="Normal 9 3 2" xfId="5019" xr:uid="{00000000-0005-0000-0000-00009D130000}"/>
    <cellStyle name="Normal 9 3 2 2" xfId="5020" xr:uid="{00000000-0005-0000-0000-00009E130000}"/>
    <cellStyle name="Normal 9 3 3" xfId="5021" xr:uid="{00000000-0005-0000-0000-00009F130000}"/>
    <cellStyle name="Normal 9 3 3 2" xfId="5022" xr:uid="{00000000-0005-0000-0000-0000A0130000}"/>
    <cellStyle name="Normal 9 3 4" xfId="5023" xr:uid="{00000000-0005-0000-0000-0000A1130000}"/>
    <cellStyle name="Normal 9 3 4 2" xfId="5024" xr:uid="{00000000-0005-0000-0000-0000A2130000}"/>
    <cellStyle name="Normal 9 3 5" xfId="5025" xr:uid="{00000000-0005-0000-0000-0000A3130000}"/>
    <cellStyle name="Normal 9 3 5 2" xfId="5026" xr:uid="{00000000-0005-0000-0000-0000A4130000}"/>
    <cellStyle name="Normal 9 3 6" xfId="5027" xr:uid="{00000000-0005-0000-0000-0000A5130000}"/>
    <cellStyle name="Normal 9 4" xfId="5028" xr:uid="{00000000-0005-0000-0000-0000A6130000}"/>
    <cellStyle name="Normal 9 4 2" xfId="5029" xr:uid="{00000000-0005-0000-0000-0000A7130000}"/>
    <cellStyle name="Normal 9 5" xfId="5030" xr:uid="{00000000-0005-0000-0000-0000A8130000}"/>
    <cellStyle name="Normal 9 5 2" xfId="5031" xr:uid="{00000000-0005-0000-0000-0000A9130000}"/>
    <cellStyle name="Normal 9 6" xfId="5032" xr:uid="{00000000-0005-0000-0000-0000AA130000}"/>
    <cellStyle name="Normal 9 6 2" xfId="5033" xr:uid="{00000000-0005-0000-0000-0000AB130000}"/>
    <cellStyle name="Normal 9 7" xfId="5034" xr:uid="{00000000-0005-0000-0000-0000AC130000}"/>
    <cellStyle name="Normal 9 7 2" xfId="5035" xr:uid="{00000000-0005-0000-0000-0000AD130000}"/>
    <cellStyle name="Normal 9 8" xfId="5036" xr:uid="{00000000-0005-0000-0000-0000AE130000}"/>
    <cellStyle name="Normal 9 9" xfId="5037" xr:uid="{00000000-0005-0000-0000-0000AF130000}"/>
    <cellStyle name="Normal 9 9 2" xfId="5038" xr:uid="{00000000-0005-0000-0000-0000B0130000}"/>
    <cellStyle name="Note 10" xfId="5039" xr:uid="{00000000-0005-0000-0000-0000B1130000}"/>
    <cellStyle name="Note 10 2" xfId="5040" xr:uid="{00000000-0005-0000-0000-0000B2130000}"/>
    <cellStyle name="Note 10 2 2" xfId="5041" xr:uid="{00000000-0005-0000-0000-0000B3130000}"/>
    <cellStyle name="Note 10 3" xfId="5042" xr:uid="{00000000-0005-0000-0000-0000B4130000}"/>
    <cellStyle name="Note 10 3 2" xfId="5043" xr:uid="{00000000-0005-0000-0000-0000B5130000}"/>
    <cellStyle name="Note 10 4" xfId="5044" xr:uid="{00000000-0005-0000-0000-0000B6130000}"/>
    <cellStyle name="Note 10 4 2" xfId="5045" xr:uid="{00000000-0005-0000-0000-0000B7130000}"/>
    <cellStyle name="Note 10 5" xfId="5046" xr:uid="{00000000-0005-0000-0000-0000B8130000}"/>
    <cellStyle name="Note 10 5 2" xfId="5047" xr:uid="{00000000-0005-0000-0000-0000B9130000}"/>
    <cellStyle name="Note 10 6" xfId="5048" xr:uid="{00000000-0005-0000-0000-0000BA130000}"/>
    <cellStyle name="Note 11" xfId="5049" xr:uid="{00000000-0005-0000-0000-0000BB130000}"/>
    <cellStyle name="Note 11 2" xfId="5050" xr:uid="{00000000-0005-0000-0000-0000BC130000}"/>
    <cellStyle name="Note 11 2 2" xfId="5051" xr:uid="{00000000-0005-0000-0000-0000BD130000}"/>
    <cellStyle name="Note 11 3" xfId="5052" xr:uid="{00000000-0005-0000-0000-0000BE130000}"/>
    <cellStyle name="Note 11 3 2" xfId="5053" xr:uid="{00000000-0005-0000-0000-0000BF130000}"/>
    <cellStyle name="Note 11 4" xfId="5054" xr:uid="{00000000-0005-0000-0000-0000C0130000}"/>
    <cellStyle name="Note 12" xfId="5055" xr:uid="{00000000-0005-0000-0000-0000C1130000}"/>
    <cellStyle name="Note 12 2" xfId="5056" xr:uid="{00000000-0005-0000-0000-0000C2130000}"/>
    <cellStyle name="Note 12 2 2" xfId="5057" xr:uid="{00000000-0005-0000-0000-0000C3130000}"/>
    <cellStyle name="Note 12 3" xfId="5058" xr:uid="{00000000-0005-0000-0000-0000C4130000}"/>
    <cellStyle name="Note 13" xfId="5059" xr:uid="{00000000-0005-0000-0000-0000C5130000}"/>
    <cellStyle name="Note 13 2" xfId="5060" xr:uid="{00000000-0005-0000-0000-0000C6130000}"/>
    <cellStyle name="Note 14" xfId="5061" xr:uid="{00000000-0005-0000-0000-0000C7130000}"/>
    <cellStyle name="Note 14 2" xfId="5062" xr:uid="{00000000-0005-0000-0000-0000C8130000}"/>
    <cellStyle name="Note 15" xfId="5063" xr:uid="{00000000-0005-0000-0000-0000C9130000}"/>
    <cellStyle name="Note 15 2" xfId="5064" xr:uid="{00000000-0005-0000-0000-0000CA130000}"/>
    <cellStyle name="Note 16" xfId="5065" xr:uid="{00000000-0005-0000-0000-0000CB130000}"/>
    <cellStyle name="Note 16 2" xfId="5066" xr:uid="{00000000-0005-0000-0000-0000CC130000}"/>
    <cellStyle name="Note 17" xfId="5067" xr:uid="{00000000-0005-0000-0000-0000CD130000}"/>
    <cellStyle name="Note 17 2" xfId="5068" xr:uid="{00000000-0005-0000-0000-0000CE130000}"/>
    <cellStyle name="Note 18" xfId="5069" xr:uid="{00000000-0005-0000-0000-0000CF130000}"/>
    <cellStyle name="Note 18 2" xfId="5070" xr:uid="{00000000-0005-0000-0000-0000D0130000}"/>
    <cellStyle name="Note 19" xfId="5071" xr:uid="{00000000-0005-0000-0000-0000D1130000}"/>
    <cellStyle name="Note 19 2" xfId="5072" xr:uid="{00000000-0005-0000-0000-0000D2130000}"/>
    <cellStyle name="Note 2" xfId="5073" xr:uid="{00000000-0005-0000-0000-0000D3130000}"/>
    <cellStyle name="Note 2 10" xfId="5074" xr:uid="{00000000-0005-0000-0000-0000D4130000}"/>
    <cellStyle name="Note 2 10 2" xfId="5075" xr:uid="{00000000-0005-0000-0000-0000D5130000}"/>
    <cellStyle name="Note 2 11" xfId="5076" xr:uid="{00000000-0005-0000-0000-0000D6130000}"/>
    <cellStyle name="Note 2 2" xfId="5077" xr:uid="{00000000-0005-0000-0000-0000D7130000}"/>
    <cellStyle name="Note 2 2 10" xfId="5078" xr:uid="{00000000-0005-0000-0000-0000D8130000}"/>
    <cellStyle name="Note 2 2 2" xfId="5079" xr:uid="{00000000-0005-0000-0000-0000D9130000}"/>
    <cellStyle name="Note 2 2 2 2" xfId="5080" xr:uid="{00000000-0005-0000-0000-0000DA130000}"/>
    <cellStyle name="Note 2 2 2 2 2" xfId="5081" xr:uid="{00000000-0005-0000-0000-0000DB130000}"/>
    <cellStyle name="Note 2 2 2 3" xfId="5082" xr:uid="{00000000-0005-0000-0000-0000DC130000}"/>
    <cellStyle name="Note 2 2 2 3 2" xfId="5083" xr:uid="{00000000-0005-0000-0000-0000DD130000}"/>
    <cellStyle name="Note 2 2 2 4" xfId="5084" xr:uid="{00000000-0005-0000-0000-0000DE130000}"/>
    <cellStyle name="Note 2 2 2 4 2" xfId="5085" xr:uid="{00000000-0005-0000-0000-0000DF130000}"/>
    <cellStyle name="Note 2 2 2 5" xfId="5086" xr:uid="{00000000-0005-0000-0000-0000E0130000}"/>
    <cellStyle name="Note 2 2 2 5 2" xfId="5087" xr:uid="{00000000-0005-0000-0000-0000E1130000}"/>
    <cellStyle name="Note 2 2 2 6" xfId="5088" xr:uid="{00000000-0005-0000-0000-0000E2130000}"/>
    <cellStyle name="Note 2 2 3" xfId="5089" xr:uid="{00000000-0005-0000-0000-0000E3130000}"/>
    <cellStyle name="Note 2 2 3 2" xfId="5090" xr:uid="{00000000-0005-0000-0000-0000E4130000}"/>
    <cellStyle name="Note 2 2 3 2 2" xfId="5091" xr:uid="{00000000-0005-0000-0000-0000E5130000}"/>
    <cellStyle name="Note 2 2 3 3" xfId="5092" xr:uid="{00000000-0005-0000-0000-0000E6130000}"/>
    <cellStyle name="Note 2 2 3 3 2" xfId="5093" xr:uid="{00000000-0005-0000-0000-0000E7130000}"/>
    <cellStyle name="Note 2 2 3 4" xfId="5094" xr:uid="{00000000-0005-0000-0000-0000E8130000}"/>
    <cellStyle name="Note 2 2 3 4 2" xfId="5095" xr:uid="{00000000-0005-0000-0000-0000E9130000}"/>
    <cellStyle name="Note 2 2 3 5" xfId="5096" xr:uid="{00000000-0005-0000-0000-0000EA130000}"/>
    <cellStyle name="Note 2 2 3 5 2" xfId="5097" xr:uid="{00000000-0005-0000-0000-0000EB130000}"/>
    <cellStyle name="Note 2 2 3 6" xfId="5098" xr:uid="{00000000-0005-0000-0000-0000EC130000}"/>
    <cellStyle name="Note 2 2 4" xfId="5099" xr:uid="{00000000-0005-0000-0000-0000ED130000}"/>
    <cellStyle name="Note 2 2 4 2" xfId="5100" xr:uid="{00000000-0005-0000-0000-0000EE130000}"/>
    <cellStyle name="Note 2 2 5" xfId="5101" xr:uid="{00000000-0005-0000-0000-0000EF130000}"/>
    <cellStyle name="Note 2 2 5 2" xfId="5102" xr:uid="{00000000-0005-0000-0000-0000F0130000}"/>
    <cellStyle name="Note 2 2 6" xfId="5103" xr:uid="{00000000-0005-0000-0000-0000F1130000}"/>
    <cellStyle name="Note 2 2 6 2" xfId="5104" xr:uid="{00000000-0005-0000-0000-0000F2130000}"/>
    <cellStyle name="Note 2 2 7" xfId="5105" xr:uid="{00000000-0005-0000-0000-0000F3130000}"/>
    <cellStyle name="Note 2 2 7 2" xfId="5106" xr:uid="{00000000-0005-0000-0000-0000F4130000}"/>
    <cellStyle name="Note 2 2 8" xfId="5107" xr:uid="{00000000-0005-0000-0000-0000F5130000}"/>
    <cellStyle name="Note 2 2 8 2" xfId="5108" xr:uid="{00000000-0005-0000-0000-0000F6130000}"/>
    <cellStyle name="Note 2 2 9" xfId="5109" xr:uid="{00000000-0005-0000-0000-0000F7130000}"/>
    <cellStyle name="Note 2 2 9 2" xfId="5110" xr:uid="{00000000-0005-0000-0000-0000F8130000}"/>
    <cellStyle name="Note 2 3" xfId="5111" xr:uid="{00000000-0005-0000-0000-0000F9130000}"/>
    <cellStyle name="Note 2 3 2" xfId="5112" xr:uid="{00000000-0005-0000-0000-0000FA130000}"/>
    <cellStyle name="Note 2 3 2 2" xfId="5113" xr:uid="{00000000-0005-0000-0000-0000FB130000}"/>
    <cellStyle name="Note 2 3 3" xfId="5114" xr:uid="{00000000-0005-0000-0000-0000FC130000}"/>
    <cellStyle name="Note 2 3 3 2" xfId="5115" xr:uid="{00000000-0005-0000-0000-0000FD130000}"/>
    <cellStyle name="Note 2 3 4" xfId="5116" xr:uid="{00000000-0005-0000-0000-0000FE130000}"/>
    <cellStyle name="Note 2 3 4 2" xfId="5117" xr:uid="{00000000-0005-0000-0000-0000FF130000}"/>
    <cellStyle name="Note 2 3 5" xfId="5118" xr:uid="{00000000-0005-0000-0000-000000140000}"/>
    <cellStyle name="Note 2 3 5 2" xfId="5119" xr:uid="{00000000-0005-0000-0000-000001140000}"/>
    <cellStyle name="Note 2 3 6" xfId="5120" xr:uid="{00000000-0005-0000-0000-000002140000}"/>
    <cellStyle name="Note 2 4" xfId="5121" xr:uid="{00000000-0005-0000-0000-000003140000}"/>
    <cellStyle name="Note 2 4 2" xfId="5122" xr:uid="{00000000-0005-0000-0000-000004140000}"/>
    <cellStyle name="Note 2 4 2 2" xfId="5123" xr:uid="{00000000-0005-0000-0000-000005140000}"/>
    <cellStyle name="Note 2 4 3" xfId="5124" xr:uid="{00000000-0005-0000-0000-000006140000}"/>
    <cellStyle name="Note 2 4 3 2" xfId="5125" xr:uid="{00000000-0005-0000-0000-000007140000}"/>
    <cellStyle name="Note 2 4 4" xfId="5126" xr:uid="{00000000-0005-0000-0000-000008140000}"/>
    <cellStyle name="Note 2 4 4 2" xfId="5127" xr:uid="{00000000-0005-0000-0000-000009140000}"/>
    <cellStyle name="Note 2 4 5" xfId="5128" xr:uid="{00000000-0005-0000-0000-00000A140000}"/>
    <cellStyle name="Note 2 4 5 2" xfId="5129" xr:uid="{00000000-0005-0000-0000-00000B140000}"/>
    <cellStyle name="Note 2 4 6" xfId="5130" xr:uid="{00000000-0005-0000-0000-00000C140000}"/>
    <cellStyle name="Note 2 5" xfId="5131" xr:uid="{00000000-0005-0000-0000-00000D140000}"/>
    <cellStyle name="Note 2 5 2" xfId="5132" xr:uid="{00000000-0005-0000-0000-00000E140000}"/>
    <cellStyle name="Note 2 6" xfId="5133" xr:uid="{00000000-0005-0000-0000-00000F140000}"/>
    <cellStyle name="Note 2 6 2" xfId="5134" xr:uid="{00000000-0005-0000-0000-000010140000}"/>
    <cellStyle name="Note 2 7" xfId="5135" xr:uid="{00000000-0005-0000-0000-000011140000}"/>
    <cellStyle name="Note 2 7 2" xfId="5136" xr:uid="{00000000-0005-0000-0000-000012140000}"/>
    <cellStyle name="Note 2 8" xfId="5137" xr:uid="{00000000-0005-0000-0000-000013140000}"/>
    <cellStyle name="Note 2 8 2" xfId="5138" xr:uid="{00000000-0005-0000-0000-000014140000}"/>
    <cellStyle name="Note 2 9" xfId="5139" xr:uid="{00000000-0005-0000-0000-000015140000}"/>
    <cellStyle name="Note 2 9 2" xfId="5140" xr:uid="{00000000-0005-0000-0000-000016140000}"/>
    <cellStyle name="Note 20" xfId="5141" xr:uid="{00000000-0005-0000-0000-000017140000}"/>
    <cellStyle name="Note 20 2" xfId="5142" xr:uid="{00000000-0005-0000-0000-000018140000}"/>
    <cellStyle name="Note 3" xfId="5143" xr:uid="{00000000-0005-0000-0000-000019140000}"/>
    <cellStyle name="Note 3 10" xfId="5144" xr:uid="{00000000-0005-0000-0000-00001A140000}"/>
    <cellStyle name="Note 3 10 2" xfId="5145" xr:uid="{00000000-0005-0000-0000-00001B140000}"/>
    <cellStyle name="Note 3 11" xfId="5146" xr:uid="{00000000-0005-0000-0000-00001C140000}"/>
    <cellStyle name="Note 3 2" xfId="5147" xr:uid="{00000000-0005-0000-0000-00001D140000}"/>
    <cellStyle name="Note 3 2 10" xfId="5148" xr:uid="{00000000-0005-0000-0000-00001E140000}"/>
    <cellStyle name="Note 3 2 2" xfId="5149" xr:uid="{00000000-0005-0000-0000-00001F140000}"/>
    <cellStyle name="Note 3 2 2 2" xfId="5150" xr:uid="{00000000-0005-0000-0000-000020140000}"/>
    <cellStyle name="Note 3 2 2 2 2" xfId="5151" xr:uid="{00000000-0005-0000-0000-000021140000}"/>
    <cellStyle name="Note 3 2 2 3" xfId="5152" xr:uid="{00000000-0005-0000-0000-000022140000}"/>
    <cellStyle name="Note 3 2 2 3 2" xfId="5153" xr:uid="{00000000-0005-0000-0000-000023140000}"/>
    <cellStyle name="Note 3 2 2 4" xfId="5154" xr:uid="{00000000-0005-0000-0000-000024140000}"/>
    <cellStyle name="Note 3 2 2 4 2" xfId="5155" xr:uid="{00000000-0005-0000-0000-000025140000}"/>
    <cellStyle name="Note 3 2 2 5" xfId="5156" xr:uid="{00000000-0005-0000-0000-000026140000}"/>
    <cellStyle name="Note 3 2 2 5 2" xfId="5157" xr:uid="{00000000-0005-0000-0000-000027140000}"/>
    <cellStyle name="Note 3 2 2 6" xfId="5158" xr:uid="{00000000-0005-0000-0000-000028140000}"/>
    <cellStyle name="Note 3 2 3" xfId="5159" xr:uid="{00000000-0005-0000-0000-000029140000}"/>
    <cellStyle name="Note 3 2 3 2" xfId="5160" xr:uid="{00000000-0005-0000-0000-00002A140000}"/>
    <cellStyle name="Note 3 2 3 2 2" xfId="5161" xr:uid="{00000000-0005-0000-0000-00002B140000}"/>
    <cellStyle name="Note 3 2 3 3" xfId="5162" xr:uid="{00000000-0005-0000-0000-00002C140000}"/>
    <cellStyle name="Note 3 2 3 3 2" xfId="5163" xr:uid="{00000000-0005-0000-0000-00002D140000}"/>
    <cellStyle name="Note 3 2 3 4" xfId="5164" xr:uid="{00000000-0005-0000-0000-00002E140000}"/>
    <cellStyle name="Note 3 2 3 4 2" xfId="5165" xr:uid="{00000000-0005-0000-0000-00002F140000}"/>
    <cellStyle name="Note 3 2 3 5" xfId="5166" xr:uid="{00000000-0005-0000-0000-000030140000}"/>
    <cellStyle name="Note 3 2 3 5 2" xfId="5167" xr:uid="{00000000-0005-0000-0000-000031140000}"/>
    <cellStyle name="Note 3 2 3 6" xfId="5168" xr:uid="{00000000-0005-0000-0000-000032140000}"/>
    <cellStyle name="Note 3 2 4" xfId="5169" xr:uid="{00000000-0005-0000-0000-000033140000}"/>
    <cellStyle name="Note 3 2 4 2" xfId="5170" xr:uid="{00000000-0005-0000-0000-000034140000}"/>
    <cellStyle name="Note 3 2 5" xfId="5171" xr:uid="{00000000-0005-0000-0000-000035140000}"/>
    <cellStyle name="Note 3 2 5 2" xfId="5172" xr:uid="{00000000-0005-0000-0000-000036140000}"/>
    <cellStyle name="Note 3 2 6" xfId="5173" xr:uid="{00000000-0005-0000-0000-000037140000}"/>
    <cellStyle name="Note 3 2 6 2" xfId="5174" xr:uid="{00000000-0005-0000-0000-000038140000}"/>
    <cellStyle name="Note 3 2 7" xfId="5175" xr:uid="{00000000-0005-0000-0000-000039140000}"/>
    <cellStyle name="Note 3 2 7 2" xfId="5176" xr:uid="{00000000-0005-0000-0000-00003A140000}"/>
    <cellStyle name="Note 3 2 8" xfId="5177" xr:uid="{00000000-0005-0000-0000-00003B140000}"/>
    <cellStyle name="Note 3 2 8 2" xfId="5178" xr:uid="{00000000-0005-0000-0000-00003C140000}"/>
    <cellStyle name="Note 3 2 9" xfId="5179" xr:uid="{00000000-0005-0000-0000-00003D140000}"/>
    <cellStyle name="Note 3 2 9 2" xfId="5180" xr:uid="{00000000-0005-0000-0000-00003E140000}"/>
    <cellStyle name="Note 3 3" xfId="5181" xr:uid="{00000000-0005-0000-0000-00003F140000}"/>
    <cellStyle name="Note 3 3 2" xfId="5182" xr:uid="{00000000-0005-0000-0000-000040140000}"/>
    <cellStyle name="Note 3 3 2 2" xfId="5183" xr:uid="{00000000-0005-0000-0000-000041140000}"/>
    <cellStyle name="Note 3 3 3" xfId="5184" xr:uid="{00000000-0005-0000-0000-000042140000}"/>
    <cellStyle name="Note 3 3 3 2" xfId="5185" xr:uid="{00000000-0005-0000-0000-000043140000}"/>
    <cellStyle name="Note 3 3 4" xfId="5186" xr:uid="{00000000-0005-0000-0000-000044140000}"/>
    <cellStyle name="Note 3 3 4 2" xfId="5187" xr:uid="{00000000-0005-0000-0000-000045140000}"/>
    <cellStyle name="Note 3 3 5" xfId="5188" xr:uid="{00000000-0005-0000-0000-000046140000}"/>
    <cellStyle name="Note 3 3 5 2" xfId="5189" xr:uid="{00000000-0005-0000-0000-000047140000}"/>
    <cellStyle name="Note 3 3 6" xfId="5190" xr:uid="{00000000-0005-0000-0000-000048140000}"/>
    <cellStyle name="Note 3 4" xfId="5191" xr:uid="{00000000-0005-0000-0000-000049140000}"/>
    <cellStyle name="Note 3 4 2" xfId="5192" xr:uid="{00000000-0005-0000-0000-00004A140000}"/>
    <cellStyle name="Note 3 4 2 2" xfId="5193" xr:uid="{00000000-0005-0000-0000-00004B140000}"/>
    <cellStyle name="Note 3 4 3" xfId="5194" xr:uid="{00000000-0005-0000-0000-00004C140000}"/>
    <cellStyle name="Note 3 4 3 2" xfId="5195" xr:uid="{00000000-0005-0000-0000-00004D140000}"/>
    <cellStyle name="Note 3 4 4" xfId="5196" xr:uid="{00000000-0005-0000-0000-00004E140000}"/>
    <cellStyle name="Note 3 4 4 2" xfId="5197" xr:uid="{00000000-0005-0000-0000-00004F140000}"/>
    <cellStyle name="Note 3 4 5" xfId="5198" xr:uid="{00000000-0005-0000-0000-000050140000}"/>
    <cellStyle name="Note 3 4 5 2" xfId="5199" xr:uid="{00000000-0005-0000-0000-000051140000}"/>
    <cellStyle name="Note 3 4 6" xfId="5200" xr:uid="{00000000-0005-0000-0000-000052140000}"/>
    <cellStyle name="Note 3 5" xfId="5201" xr:uid="{00000000-0005-0000-0000-000053140000}"/>
    <cellStyle name="Note 3 5 2" xfId="5202" xr:uid="{00000000-0005-0000-0000-000054140000}"/>
    <cellStyle name="Note 3 6" xfId="5203" xr:uid="{00000000-0005-0000-0000-000055140000}"/>
    <cellStyle name="Note 3 6 2" xfId="5204" xr:uid="{00000000-0005-0000-0000-000056140000}"/>
    <cellStyle name="Note 3 7" xfId="5205" xr:uid="{00000000-0005-0000-0000-000057140000}"/>
    <cellStyle name="Note 3 7 2" xfId="5206" xr:uid="{00000000-0005-0000-0000-000058140000}"/>
    <cellStyle name="Note 3 8" xfId="5207" xr:uid="{00000000-0005-0000-0000-000059140000}"/>
    <cellStyle name="Note 3 8 2" xfId="5208" xr:uid="{00000000-0005-0000-0000-00005A140000}"/>
    <cellStyle name="Note 3 9" xfId="5209" xr:uid="{00000000-0005-0000-0000-00005B140000}"/>
    <cellStyle name="Note 3 9 2" xfId="5210" xr:uid="{00000000-0005-0000-0000-00005C140000}"/>
    <cellStyle name="Note 4" xfId="5211" xr:uid="{00000000-0005-0000-0000-00005D140000}"/>
    <cellStyle name="Note 4 10" xfId="5212" xr:uid="{00000000-0005-0000-0000-00005E140000}"/>
    <cellStyle name="Note 4 10 2" xfId="5213" xr:uid="{00000000-0005-0000-0000-00005F140000}"/>
    <cellStyle name="Note 4 11" xfId="5214" xr:uid="{00000000-0005-0000-0000-000060140000}"/>
    <cellStyle name="Note 4 2" xfId="5215" xr:uid="{00000000-0005-0000-0000-000061140000}"/>
    <cellStyle name="Note 4 2 10" xfId="5216" xr:uid="{00000000-0005-0000-0000-000062140000}"/>
    <cellStyle name="Note 4 2 2" xfId="5217" xr:uid="{00000000-0005-0000-0000-000063140000}"/>
    <cellStyle name="Note 4 2 2 2" xfId="5218" xr:uid="{00000000-0005-0000-0000-000064140000}"/>
    <cellStyle name="Note 4 2 2 2 2" xfId="5219" xr:uid="{00000000-0005-0000-0000-000065140000}"/>
    <cellStyle name="Note 4 2 2 3" xfId="5220" xr:uid="{00000000-0005-0000-0000-000066140000}"/>
    <cellStyle name="Note 4 2 2 3 2" xfId="5221" xr:uid="{00000000-0005-0000-0000-000067140000}"/>
    <cellStyle name="Note 4 2 2 4" xfId="5222" xr:uid="{00000000-0005-0000-0000-000068140000}"/>
    <cellStyle name="Note 4 2 2 4 2" xfId="5223" xr:uid="{00000000-0005-0000-0000-000069140000}"/>
    <cellStyle name="Note 4 2 2 5" xfId="5224" xr:uid="{00000000-0005-0000-0000-00006A140000}"/>
    <cellStyle name="Note 4 2 2 5 2" xfId="5225" xr:uid="{00000000-0005-0000-0000-00006B140000}"/>
    <cellStyle name="Note 4 2 2 6" xfId="5226" xr:uid="{00000000-0005-0000-0000-00006C140000}"/>
    <cellStyle name="Note 4 2 3" xfId="5227" xr:uid="{00000000-0005-0000-0000-00006D140000}"/>
    <cellStyle name="Note 4 2 3 2" xfId="5228" xr:uid="{00000000-0005-0000-0000-00006E140000}"/>
    <cellStyle name="Note 4 2 3 2 2" xfId="5229" xr:uid="{00000000-0005-0000-0000-00006F140000}"/>
    <cellStyle name="Note 4 2 3 3" xfId="5230" xr:uid="{00000000-0005-0000-0000-000070140000}"/>
    <cellStyle name="Note 4 2 3 3 2" xfId="5231" xr:uid="{00000000-0005-0000-0000-000071140000}"/>
    <cellStyle name="Note 4 2 3 4" xfId="5232" xr:uid="{00000000-0005-0000-0000-000072140000}"/>
    <cellStyle name="Note 4 2 3 4 2" xfId="5233" xr:uid="{00000000-0005-0000-0000-000073140000}"/>
    <cellStyle name="Note 4 2 3 5" xfId="5234" xr:uid="{00000000-0005-0000-0000-000074140000}"/>
    <cellStyle name="Note 4 2 3 5 2" xfId="5235" xr:uid="{00000000-0005-0000-0000-000075140000}"/>
    <cellStyle name="Note 4 2 3 6" xfId="5236" xr:uid="{00000000-0005-0000-0000-000076140000}"/>
    <cellStyle name="Note 4 2 4" xfId="5237" xr:uid="{00000000-0005-0000-0000-000077140000}"/>
    <cellStyle name="Note 4 2 4 2" xfId="5238" xr:uid="{00000000-0005-0000-0000-000078140000}"/>
    <cellStyle name="Note 4 2 5" xfId="5239" xr:uid="{00000000-0005-0000-0000-000079140000}"/>
    <cellStyle name="Note 4 2 5 2" xfId="5240" xr:uid="{00000000-0005-0000-0000-00007A140000}"/>
    <cellStyle name="Note 4 2 6" xfId="5241" xr:uid="{00000000-0005-0000-0000-00007B140000}"/>
    <cellStyle name="Note 4 2 6 2" xfId="5242" xr:uid="{00000000-0005-0000-0000-00007C140000}"/>
    <cellStyle name="Note 4 2 7" xfId="5243" xr:uid="{00000000-0005-0000-0000-00007D140000}"/>
    <cellStyle name="Note 4 2 7 2" xfId="5244" xr:uid="{00000000-0005-0000-0000-00007E140000}"/>
    <cellStyle name="Note 4 2 8" xfId="5245" xr:uid="{00000000-0005-0000-0000-00007F140000}"/>
    <cellStyle name="Note 4 2 8 2" xfId="5246" xr:uid="{00000000-0005-0000-0000-000080140000}"/>
    <cellStyle name="Note 4 2 9" xfId="5247" xr:uid="{00000000-0005-0000-0000-000081140000}"/>
    <cellStyle name="Note 4 2 9 2" xfId="5248" xr:uid="{00000000-0005-0000-0000-000082140000}"/>
    <cellStyle name="Note 4 3" xfId="5249" xr:uid="{00000000-0005-0000-0000-000083140000}"/>
    <cellStyle name="Note 4 3 2" xfId="5250" xr:uid="{00000000-0005-0000-0000-000084140000}"/>
    <cellStyle name="Note 4 3 2 2" xfId="5251" xr:uid="{00000000-0005-0000-0000-000085140000}"/>
    <cellStyle name="Note 4 3 3" xfId="5252" xr:uid="{00000000-0005-0000-0000-000086140000}"/>
    <cellStyle name="Note 4 3 3 2" xfId="5253" xr:uid="{00000000-0005-0000-0000-000087140000}"/>
    <cellStyle name="Note 4 3 4" xfId="5254" xr:uid="{00000000-0005-0000-0000-000088140000}"/>
    <cellStyle name="Note 4 3 4 2" xfId="5255" xr:uid="{00000000-0005-0000-0000-000089140000}"/>
    <cellStyle name="Note 4 3 5" xfId="5256" xr:uid="{00000000-0005-0000-0000-00008A140000}"/>
    <cellStyle name="Note 4 3 5 2" xfId="5257" xr:uid="{00000000-0005-0000-0000-00008B140000}"/>
    <cellStyle name="Note 4 3 6" xfId="5258" xr:uid="{00000000-0005-0000-0000-00008C140000}"/>
    <cellStyle name="Note 4 4" xfId="5259" xr:uid="{00000000-0005-0000-0000-00008D140000}"/>
    <cellStyle name="Note 4 4 2" xfId="5260" xr:uid="{00000000-0005-0000-0000-00008E140000}"/>
    <cellStyle name="Note 4 4 2 2" xfId="5261" xr:uid="{00000000-0005-0000-0000-00008F140000}"/>
    <cellStyle name="Note 4 4 3" xfId="5262" xr:uid="{00000000-0005-0000-0000-000090140000}"/>
    <cellStyle name="Note 4 4 3 2" xfId="5263" xr:uid="{00000000-0005-0000-0000-000091140000}"/>
    <cellStyle name="Note 4 4 4" xfId="5264" xr:uid="{00000000-0005-0000-0000-000092140000}"/>
    <cellStyle name="Note 4 4 4 2" xfId="5265" xr:uid="{00000000-0005-0000-0000-000093140000}"/>
    <cellStyle name="Note 4 4 5" xfId="5266" xr:uid="{00000000-0005-0000-0000-000094140000}"/>
    <cellStyle name="Note 4 4 5 2" xfId="5267" xr:uid="{00000000-0005-0000-0000-000095140000}"/>
    <cellStyle name="Note 4 4 6" xfId="5268" xr:uid="{00000000-0005-0000-0000-000096140000}"/>
    <cellStyle name="Note 4 5" xfId="5269" xr:uid="{00000000-0005-0000-0000-000097140000}"/>
    <cellStyle name="Note 4 5 2" xfId="5270" xr:uid="{00000000-0005-0000-0000-000098140000}"/>
    <cellStyle name="Note 4 6" xfId="5271" xr:uid="{00000000-0005-0000-0000-000099140000}"/>
    <cellStyle name="Note 4 6 2" xfId="5272" xr:uid="{00000000-0005-0000-0000-00009A140000}"/>
    <cellStyle name="Note 4 7" xfId="5273" xr:uid="{00000000-0005-0000-0000-00009B140000}"/>
    <cellStyle name="Note 4 7 2" xfId="5274" xr:uid="{00000000-0005-0000-0000-00009C140000}"/>
    <cellStyle name="Note 4 8" xfId="5275" xr:uid="{00000000-0005-0000-0000-00009D140000}"/>
    <cellStyle name="Note 4 8 2" xfId="5276" xr:uid="{00000000-0005-0000-0000-00009E140000}"/>
    <cellStyle name="Note 4 9" xfId="5277" xr:uid="{00000000-0005-0000-0000-00009F140000}"/>
    <cellStyle name="Note 4 9 2" xfId="5278" xr:uid="{00000000-0005-0000-0000-0000A0140000}"/>
    <cellStyle name="Note 5" xfId="5279" xr:uid="{00000000-0005-0000-0000-0000A1140000}"/>
    <cellStyle name="Note 5 10" xfId="5280" xr:uid="{00000000-0005-0000-0000-0000A2140000}"/>
    <cellStyle name="Note 5 10 2" xfId="5281" xr:uid="{00000000-0005-0000-0000-0000A3140000}"/>
    <cellStyle name="Note 5 11" xfId="5282" xr:uid="{00000000-0005-0000-0000-0000A4140000}"/>
    <cellStyle name="Note 5 2" xfId="5283" xr:uid="{00000000-0005-0000-0000-0000A5140000}"/>
    <cellStyle name="Note 5 2 10" xfId="5284" xr:uid="{00000000-0005-0000-0000-0000A6140000}"/>
    <cellStyle name="Note 5 2 2" xfId="5285" xr:uid="{00000000-0005-0000-0000-0000A7140000}"/>
    <cellStyle name="Note 5 2 2 2" xfId="5286" xr:uid="{00000000-0005-0000-0000-0000A8140000}"/>
    <cellStyle name="Note 5 2 2 2 2" xfId="5287" xr:uid="{00000000-0005-0000-0000-0000A9140000}"/>
    <cellStyle name="Note 5 2 2 3" xfId="5288" xr:uid="{00000000-0005-0000-0000-0000AA140000}"/>
    <cellStyle name="Note 5 2 2 3 2" xfId="5289" xr:uid="{00000000-0005-0000-0000-0000AB140000}"/>
    <cellStyle name="Note 5 2 2 4" xfId="5290" xr:uid="{00000000-0005-0000-0000-0000AC140000}"/>
    <cellStyle name="Note 5 2 2 4 2" xfId="5291" xr:uid="{00000000-0005-0000-0000-0000AD140000}"/>
    <cellStyle name="Note 5 2 2 5" xfId="5292" xr:uid="{00000000-0005-0000-0000-0000AE140000}"/>
    <cellStyle name="Note 5 2 2 5 2" xfId="5293" xr:uid="{00000000-0005-0000-0000-0000AF140000}"/>
    <cellStyle name="Note 5 2 2 6" xfId="5294" xr:uid="{00000000-0005-0000-0000-0000B0140000}"/>
    <cellStyle name="Note 5 2 3" xfId="5295" xr:uid="{00000000-0005-0000-0000-0000B1140000}"/>
    <cellStyle name="Note 5 2 3 2" xfId="5296" xr:uid="{00000000-0005-0000-0000-0000B2140000}"/>
    <cellStyle name="Note 5 2 3 2 2" xfId="5297" xr:uid="{00000000-0005-0000-0000-0000B3140000}"/>
    <cellStyle name="Note 5 2 3 3" xfId="5298" xr:uid="{00000000-0005-0000-0000-0000B4140000}"/>
    <cellStyle name="Note 5 2 3 3 2" xfId="5299" xr:uid="{00000000-0005-0000-0000-0000B5140000}"/>
    <cellStyle name="Note 5 2 3 4" xfId="5300" xr:uid="{00000000-0005-0000-0000-0000B6140000}"/>
    <cellStyle name="Note 5 2 3 4 2" xfId="5301" xr:uid="{00000000-0005-0000-0000-0000B7140000}"/>
    <cellStyle name="Note 5 2 3 5" xfId="5302" xr:uid="{00000000-0005-0000-0000-0000B8140000}"/>
    <cellStyle name="Note 5 2 3 5 2" xfId="5303" xr:uid="{00000000-0005-0000-0000-0000B9140000}"/>
    <cellStyle name="Note 5 2 3 6" xfId="5304" xr:uid="{00000000-0005-0000-0000-0000BA140000}"/>
    <cellStyle name="Note 5 2 4" xfId="5305" xr:uid="{00000000-0005-0000-0000-0000BB140000}"/>
    <cellStyle name="Note 5 2 4 2" xfId="5306" xr:uid="{00000000-0005-0000-0000-0000BC140000}"/>
    <cellStyle name="Note 5 2 5" xfId="5307" xr:uid="{00000000-0005-0000-0000-0000BD140000}"/>
    <cellStyle name="Note 5 2 5 2" xfId="5308" xr:uid="{00000000-0005-0000-0000-0000BE140000}"/>
    <cellStyle name="Note 5 2 6" xfId="5309" xr:uid="{00000000-0005-0000-0000-0000BF140000}"/>
    <cellStyle name="Note 5 2 6 2" xfId="5310" xr:uid="{00000000-0005-0000-0000-0000C0140000}"/>
    <cellStyle name="Note 5 2 7" xfId="5311" xr:uid="{00000000-0005-0000-0000-0000C1140000}"/>
    <cellStyle name="Note 5 2 7 2" xfId="5312" xr:uid="{00000000-0005-0000-0000-0000C2140000}"/>
    <cellStyle name="Note 5 2 8" xfId="5313" xr:uid="{00000000-0005-0000-0000-0000C3140000}"/>
    <cellStyle name="Note 5 2 8 2" xfId="5314" xr:uid="{00000000-0005-0000-0000-0000C4140000}"/>
    <cellStyle name="Note 5 2 9" xfId="5315" xr:uid="{00000000-0005-0000-0000-0000C5140000}"/>
    <cellStyle name="Note 5 2 9 2" xfId="5316" xr:uid="{00000000-0005-0000-0000-0000C6140000}"/>
    <cellStyle name="Note 5 3" xfId="5317" xr:uid="{00000000-0005-0000-0000-0000C7140000}"/>
    <cellStyle name="Note 5 3 2" xfId="5318" xr:uid="{00000000-0005-0000-0000-0000C8140000}"/>
    <cellStyle name="Note 5 3 2 2" xfId="5319" xr:uid="{00000000-0005-0000-0000-0000C9140000}"/>
    <cellStyle name="Note 5 3 3" xfId="5320" xr:uid="{00000000-0005-0000-0000-0000CA140000}"/>
    <cellStyle name="Note 5 3 3 2" xfId="5321" xr:uid="{00000000-0005-0000-0000-0000CB140000}"/>
    <cellStyle name="Note 5 3 4" xfId="5322" xr:uid="{00000000-0005-0000-0000-0000CC140000}"/>
    <cellStyle name="Note 5 3 4 2" xfId="5323" xr:uid="{00000000-0005-0000-0000-0000CD140000}"/>
    <cellStyle name="Note 5 3 5" xfId="5324" xr:uid="{00000000-0005-0000-0000-0000CE140000}"/>
    <cellStyle name="Note 5 3 5 2" xfId="5325" xr:uid="{00000000-0005-0000-0000-0000CF140000}"/>
    <cellStyle name="Note 5 3 6" xfId="5326" xr:uid="{00000000-0005-0000-0000-0000D0140000}"/>
    <cellStyle name="Note 5 4" xfId="5327" xr:uid="{00000000-0005-0000-0000-0000D1140000}"/>
    <cellStyle name="Note 5 4 2" xfId="5328" xr:uid="{00000000-0005-0000-0000-0000D2140000}"/>
    <cellStyle name="Note 5 4 2 2" xfId="5329" xr:uid="{00000000-0005-0000-0000-0000D3140000}"/>
    <cellStyle name="Note 5 4 3" xfId="5330" xr:uid="{00000000-0005-0000-0000-0000D4140000}"/>
    <cellStyle name="Note 5 4 3 2" xfId="5331" xr:uid="{00000000-0005-0000-0000-0000D5140000}"/>
    <cellStyle name="Note 5 4 4" xfId="5332" xr:uid="{00000000-0005-0000-0000-0000D6140000}"/>
    <cellStyle name="Note 5 4 4 2" xfId="5333" xr:uid="{00000000-0005-0000-0000-0000D7140000}"/>
    <cellStyle name="Note 5 4 5" xfId="5334" xr:uid="{00000000-0005-0000-0000-0000D8140000}"/>
    <cellStyle name="Note 5 4 5 2" xfId="5335" xr:uid="{00000000-0005-0000-0000-0000D9140000}"/>
    <cellStyle name="Note 5 4 6" xfId="5336" xr:uid="{00000000-0005-0000-0000-0000DA140000}"/>
    <cellStyle name="Note 5 5" xfId="5337" xr:uid="{00000000-0005-0000-0000-0000DB140000}"/>
    <cellStyle name="Note 5 5 2" xfId="5338" xr:uid="{00000000-0005-0000-0000-0000DC140000}"/>
    <cellStyle name="Note 5 6" xfId="5339" xr:uid="{00000000-0005-0000-0000-0000DD140000}"/>
    <cellStyle name="Note 5 6 2" xfId="5340" xr:uid="{00000000-0005-0000-0000-0000DE140000}"/>
    <cellStyle name="Note 5 7" xfId="5341" xr:uid="{00000000-0005-0000-0000-0000DF140000}"/>
    <cellStyle name="Note 5 7 2" xfId="5342" xr:uid="{00000000-0005-0000-0000-0000E0140000}"/>
    <cellStyle name="Note 5 8" xfId="5343" xr:uid="{00000000-0005-0000-0000-0000E1140000}"/>
    <cellStyle name="Note 5 8 2" xfId="5344" xr:uid="{00000000-0005-0000-0000-0000E2140000}"/>
    <cellStyle name="Note 5 9" xfId="5345" xr:uid="{00000000-0005-0000-0000-0000E3140000}"/>
    <cellStyle name="Note 5 9 2" xfId="5346" xr:uid="{00000000-0005-0000-0000-0000E4140000}"/>
    <cellStyle name="Note 6" xfId="5347" xr:uid="{00000000-0005-0000-0000-0000E5140000}"/>
    <cellStyle name="Note 6 10" xfId="5348" xr:uid="{00000000-0005-0000-0000-0000E6140000}"/>
    <cellStyle name="Note 6 2" xfId="5349" xr:uid="{00000000-0005-0000-0000-0000E7140000}"/>
    <cellStyle name="Note 6 2 2" xfId="5350" xr:uid="{00000000-0005-0000-0000-0000E8140000}"/>
    <cellStyle name="Note 6 2 2 2" xfId="5351" xr:uid="{00000000-0005-0000-0000-0000E9140000}"/>
    <cellStyle name="Note 6 2 3" xfId="5352" xr:uid="{00000000-0005-0000-0000-0000EA140000}"/>
    <cellStyle name="Note 6 2 3 2" xfId="5353" xr:uid="{00000000-0005-0000-0000-0000EB140000}"/>
    <cellStyle name="Note 6 2 4" xfId="5354" xr:uid="{00000000-0005-0000-0000-0000EC140000}"/>
    <cellStyle name="Note 6 2 4 2" xfId="5355" xr:uid="{00000000-0005-0000-0000-0000ED140000}"/>
    <cellStyle name="Note 6 2 5" xfId="5356" xr:uid="{00000000-0005-0000-0000-0000EE140000}"/>
    <cellStyle name="Note 6 2 5 2" xfId="5357" xr:uid="{00000000-0005-0000-0000-0000EF140000}"/>
    <cellStyle name="Note 6 2 6" xfId="5358" xr:uid="{00000000-0005-0000-0000-0000F0140000}"/>
    <cellStyle name="Note 6 3" xfId="5359" xr:uid="{00000000-0005-0000-0000-0000F1140000}"/>
    <cellStyle name="Note 6 3 2" xfId="5360" xr:uid="{00000000-0005-0000-0000-0000F2140000}"/>
    <cellStyle name="Note 6 3 2 2" xfId="5361" xr:uid="{00000000-0005-0000-0000-0000F3140000}"/>
    <cellStyle name="Note 6 3 3" xfId="5362" xr:uid="{00000000-0005-0000-0000-0000F4140000}"/>
    <cellStyle name="Note 6 3 3 2" xfId="5363" xr:uid="{00000000-0005-0000-0000-0000F5140000}"/>
    <cellStyle name="Note 6 3 4" xfId="5364" xr:uid="{00000000-0005-0000-0000-0000F6140000}"/>
    <cellStyle name="Note 6 3 4 2" xfId="5365" xr:uid="{00000000-0005-0000-0000-0000F7140000}"/>
    <cellStyle name="Note 6 3 5" xfId="5366" xr:uid="{00000000-0005-0000-0000-0000F8140000}"/>
    <cellStyle name="Note 6 3 5 2" xfId="5367" xr:uid="{00000000-0005-0000-0000-0000F9140000}"/>
    <cellStyle name="Note 6 3 6" xfId="5368" xr:uid="{00000000-0005-0000-0000-0000FA140000}"/>
    <cellStyle name="Note 6 4" xfId="5369" xr:uid="{00000000-0005-0000-0000-0000FB140000}"/>
    <cellStyle name="Note 6 4 2" xfId="5370" xr:uid="{00000000-0005-0000-0000-0000FC140000}"/>
    <cellStyle name="Note 6 5" xfId="5371" xr:uid="{00000000-0005-0000-0000-0000FD140000}"/>
    <cellStyle name="Note 6 5 2" xfId="5372" xr:uid="{00000000-0005-0000-0000-0000FE140000}"/>
    <cellStyle name="Note 6 6" xfId="5373" xr:uid="{00000000-0005-0000-0000-0000FF140000}"/>
    <cellStyle name="Note 6 6 2" xfId="5374" xr:uid="{00000000-0005-0000-0000-000000150000}"/>
    <cellStyle name="Note 6 7" xfId="5375" xr:uid="{00000000-0005-0000-0000-000001150000}"/>
    <cellStyle name="Note 6 7 2" xfId="5376" xr:uid="{00000000-0005-0000-0000-000002150000}"/>
    <cellStyle name="Note 6 8" xfId="5377" xr:uid="{00000000-0005-0000-0000-000003150000}"/>
    <cellStyle name="Note 6 8 2" xfId="5378" xr:uid="{00000000-0005-0000-0000-000004150000}"/>
    <cellStyle name="Note 6 9" xfId="5379" xr:uid="{00000000-0005-0000-0000-000005150000}"/>
    <cellStyle name="Note 6 9 2" xfId="5380" xr:uid="{00000000-0005-0000-0000-000006150000}"/>
    <cellStyle name="Note 7" xfId="5381" xr:uid="{00000000-0005-0000-0000-000007150000}"/>
    <cellStyle name="Note 7 10" xfId="5382" xr:uid="{00000000-0005-0000-0000-000008150000}"/>
    <cellStyle name="Note 7 2" xfId="5383" xr:uid="{00000000-0005-0000-0000-000009150000}"/>
    <cellStyle name="Note 7 2 2" xfId="5384" xr:uid="{00000000-0005-0000-0000-00000A150000}"/>
    <cellStyle name="Note 7 2 2 2" xfId="5385" xr:uid="{00000000-0005-0000-0000-00000B150000}"/>
    <cellStyle name="Note 7 2 3" xfId="5386" xr:uid="{00000000-0005-0000-0000-00000C150000}"/>
    <cellStyle name="Note 7 2 3 2" xfId="5387" xr:uid="{00000000-0005-0000-0000-00000D150000}"/>
    <cellStyle name="Note 7 2 4" xfId="5388" xr:uid="{00000000-0005-0000-0000-00000E150000}"/>
    <cellStyle name="Note 7 2 4 2" xfId="5389" xr:uid="{00000000-0005-0000-0000-00000F150000}"/>
    <cellStyle name="Note 7 2 5" xfId="5390" xr:uid="{00000000-0005-0000-0000-000010150000}"/>
    <cellStyle name="Note 7 2 5 2" xfId="5391" xr:uid="{00000000-0005-0000-0000-000011150000}"/>
    <cellStyle name="Note 7 2 6" xfId="5392" xr:uid="{00000000-0005-0000-0000-000012150000}"/>
    <cellStyle name="Note 7 3" xfId="5393" xr:uid="{00000000-0005-0000-0000-000013150000}"/>
    <cellStyle name="Note 7 3 2" xfId="5394" xr:uid="{00000000-0005-0000-0000-000014150000}"/>
    <cellStyle name="Note 7 3 2 2" xfId="5395" xr:uid="{00000000-0005-0000-0000-000015150000}"/>
    <cellStyle name="Note 7 3 3" xfId="5396" xr:uid="{00000000-0005-0000-0000-000016150000}"/>
    <cellStyle name="Note 7 3 3 2" xfId="5397" xr:uid="{00000000-0005-0000-0000-000017150000}"/>
    <cellStyle name="Note 7 3 4" xfId="5398" xr:uid="{00000000-0005-0000-0000-000018150000}"/>
    <cellStyle name="Note 7 3 4 2" xfId="5399" xr:uid="{00000000-0005-0000-0000-000019150000}"/>
    <cellStyle name="Note 7 3 5" xfId="5400" xr:uid="{00000000-0005-0000-0000-00001A150000}"/>
    <cellStyle name="Note 7 3 5 2" xfId="5401" xr:uid="{00000000-0005-0000-0000-00001B150000}"/>
    <cellStyle name="Note 7 3 6" xfId="5402" xr:uid="{00000000-0005-0000-0000-00001C150000}"/>
    <cellStyle name="Note 7 4" xfId="5403" xr:uid="{00000000-0005-0000-0000-00001D150000}"/>
    <cellStyle name="Note 7 4 2" xfId="5404" xr:uid="{00000000-0005-0000-0000-00001E150000}"/>
    <cellStyle name="Note 7 5" xfId="5405" xr:uid="{00000000-0005-0000-0000-00001F150000}"/>
    <cellStyle name="Note 7 5 2" xfId="5406" xr:uid="{00000000-0005-0000-0000-000020150000}"/>
    <cellStyle name="Note 7 6" xfId="5407" xr:uid="{00000000-0005-0000-0000-000021150000}"/>
    <cellStyle name="Note 7 6 2" xfId="5408" xr:uid="{00000000-0005-0000-0000-000022150000}"/>
    <cellStyle name="Note 7 7" xfId="5409" xr:uid="{00000000-0005-0000-0000-000023150000}"/>
    <cellStyle name="Note 7 7 2" xfId="5410" xr:uid="{00000000-0005-0000-0000-000024150000}"/>
    <cellStyle name="Note 7 8" xfId="5411" xr:uid="{00000000-0005-0000-0000-000025150000}"/>
    <cellStyle name="Note 7 8 2" xfId="5412" xr:uid="{00000000-0005-0000-0000-000026150000}"/>
    <cellStyle name="Note 7 9" xfId="5413" xr:uid="{00000000-0005-0000-0000-000027150000}"/>
    <cellStyle name="Note 7 9 2" xfId="5414" xr:uid="{00000000-0005-0000-0000-000028150000}"/>
    <cellStyle name="Note 8" xfId="5415" xr:uid="{00000000-0005-0000-0000-000029150000}"/>
    <cellStyle name="Note 8 10" xfId="5416" xr:uid="{00000000-0005-0000-0000-00002A150000}"/>
    <cellStyle name="Note 8 2" xfId="5417" xr:uid="{00000000-0005-0000-0000-00002B150000}"/>
    <cellStyle name="Note 8 2 2" xfId="5418" xr:uid="{00000000-0005-0000-0000-00002C150000}"/>
    <cellStyle name="Note 8 2 2 2" xfId="5419" xr:uid="{00000000-0005-0000-0000-00002D150000}"/>
    <cellStyle name="Note 8 2 3" xfId="5420" xr:uid="{00000000-0005-0000-0000-00002E150000}"/>
    <cellStyle name="Note 8 2 3 2" xfId="5421" xr:uid="{00000000-0005-0000-0000-00002F150000}"/>
    <cellStyle name="Note 8 2 4" xfId="5422" xr:uid="{00000000-0005-0000-0000-000030150000}"/>
    <cellStyle name="Note 8 2 4 2" xfId="5423" xr:uid="{00000000-0005-0000-0000-000031150000}"/>
    <cellStyle name="Note 8 2 5" xfId="5424" xr:uid="{00000000-0005-0000-0000-000032150000}"/>
    <cellStyle name="Note 8 2 5 2" xfId="5425" xr:uid="{00000000-0005-0000-0000-000033150000}"/>
    <cellStyle name="Note 8 2 6" xfId="5426" xr:uid="{00000000-0005-0000-0000-000034150000}"/>
    <cellStyle name="Note 8 3" xfId="5427" xr:uid="{00000000-0005-0000-0000-000035150000}"/>
    <cellStyle name="Note 8 3 2" xfId="5428" xr:uid="{00000000-0005-0000-0000-000036150000}"/>
    <cellStyle name="Note 8 3 2 2" xfId="5429" xr:uid="{00000000-0005-0000-0000-000037150000}"/>
    <cellStyle name="Note 8 3 3" xfId="5430" xr:uid="{00000000-0005-0000-0000-000038150000}"/>
    <cellStyle name="Note 8 3 3 2" xfId="5431" xr:uid="{00000000-0005-0000-0000-000039150000}"/>
    <cellStyle name="Note 8 3 4" xfId="5432" xr:uid="{00000000-0005-0000-0000-00003A150000}"/>
    <cellStyle name="Note 8 3 4 2" xfId="5433" xr:uid="{00000000-0005-0000-0000-00003B150000}"/>
    <cellStyle name="Note 8 3 5" xfId="5434" xr:uid="{00000000-0005-0000-0000-00003C150000}"/>
    <cellStyle name="Note 8 3 5 2" xfId="5435" xr:uid="{00000000-0005-0000-0000-00003D150000}"/>
    <cellStyle name="Note 8 3 6" xfId="5436" xr:uid="{00000000-0005-0000-0000-00003E150000}"/>
    <cellStyle name="Note 8 4" xfId="5437" xr:uid="{00000000-0005-0000-0000-00003F150000}"/>
    <cellStyle name="Note 8 4 2" xfId="5438" xr:uid="{00000000-0005-0000-0000-000040150000}"/>
    <cellStyle name="Note 8 5" xfId="5439" xr:uid="{00000000-0005-0000-0000-000041150000}"/>
    <cellStyle name="Note 8 5 2" xfId="5440" xr:uid="{00000000-0005-0000-0000-000042150000}"/>
    <cellStyle name="Note 8 6" xfId="5441" xr:uid="{00000000-0005-0000-0000-000043150000}"/>
    <cellStyle name="Note 8 6 2" xfId="5442" xr:uid="{00000000-0005-0000-0000-000044150000}"/>
    <cellStyle name="Note 8 7" xfId="5443" xr:uid="{00000000-0005-0000-0000-000045150000}"/>
    <cellStyle name="Note 8 7 2" xfId="5444" xr:uid="{00000000-0005-0000-0000-000046150000}"/>
    <cellStyle name="Note 8 8" xfId="5445" xr:uid="{00000000-0005-0000-0000-000047150000}"/>
    <cellStyle name="Note 8 8 2" xfId="5446" xr:uid="{00000000-0005-0000-0000-000048150000}"/>
    <cellStyle name="Note 8 9" xfId="5447" xr:uid="{00000000-0005-0000-0000-000049150000}"/>
    <cellStyle name="Note 8 9 2" xfId="5448" xr:uid="{00000000-0005-0000-0000-00004A150000}"/>
    <cellStyle name="Note 9" xfId="5449" xr:uid="{00000000-0005-0000-0000-00004B150000}"/>
    <cellStyle name="Note 9 2" xfId="5450" xr:uid="{00000000-0005-0000-0000-00004C150000}"/>
    <cellStyle name="Note 9 2 2" xfId="5451" xr:uid="{00000000-0005-0000-0000-00004D150000}"/>
    <cellStyle name="Note 9 3" xfId="5452" xr:uid="{00000000-0005-0000-0000-00004E150000}"/>
    <cellStyle name="Note 9 3 2" xfId="5453" xr:uid="{00000000-0005-0000-0000-00004F150000}"/>
    <cellStyle name="Note 9 4" xfId="5454" xr:uid="{00000000-0005-0000-0000-000050150000}"/>
    <cellStyle name="Note 9 4 2" xfId="5455" xr:uid="{00000000-0005-0000-0000-000051150000}"/>
    <cellStyle name="Note 9 5" xfId="5456" xr:uid="{00000000-0005-0000-0000-000052150000}"/>
    <cellStyle name="Note 9 5 2" xfId="5457" xr:uid="{00000000-0005-0000-0000-000053150000}"/>
    <cellStyle name="Note 9 6" xfId="5458" xr:uid="{00000000-0005-0000-0000-000054150000}"/>
    <cellStyle name="Note 9 6 2" xfId="5459" xr:uid="{00000000-0005-0000-0000-000055150000}"/>
    <cellStyle name="Note 9 7" xfId="5460" xr:uid="{00000000-0005-0000-0000-000056150000}"/>
    <cellStyle name="Percent 10" xfId="5461" xr:uid="{00000000-0005-0000-0000-000057150000}"/>
    <cellStyle name="Percent 10 2" xfId="5462" xr:uid="{00000000-0005-0000-0000-000058150000}"/>
    <cellStyle name="Percent 11" xfId="5463" xr:uid="{00000000-0005-0000-0000-000059150000}"/>
    <cellStyle name="Percent 11 2" xfId="5464" xr:uid="{00000000-0005-0000-0000-00005A150000}"/>
    <cellStyle name="Percent 12" xfId="5465" xr:uid="{00000000-0005-0000-0000-00005B150000}"/>
    <cellStyle name="Percent 12 2" xfId="5466" xr:uid="{00000000-0005-0000-0000-00005C150000}"/>
    <cellStyle name="Percent 13" xfId="5570" xr:uid="{00000000-0005-0000-0000-00005D150000}"/>
    <cellStyle name="Percent 14" xfId="18" xr:uid="{00000000-0005-0000-0000-00005E150000}"/>
    <cellStyle name="Percent 2" xfId="5" xr:uid="{00000000-0005-0000-0000-00005F150000}"/>
    <cellStyle name="Percent 2 2" xfId="10" xr:uid="{00000000-0005-0000-0000-000060150000}"/>
    <cellStyle name="Percent 2 2 2" xfId="5469" xr:uid="{00000000-0005-0000-0000-000061150000}"/>
    <cellStyle name="Percent 2 2 2 2" xfId="5470" xr:uid="{00000000-0005-0000-0000-000062150000}"/>
    <cellStyle name="Percent 2 2 3" xfId="5471" xr:uid="{00000000-0005-0000-0000-000063150000}"/>
    <cellStyle name="Percent 2 2 4" xfId="5468" xr:uid="{00000000-0005-0000-0000-000064150000}"/>
    <cellStyle name="Percent 2 3" xfId="16" xr:uid="{00000000-0005-0000-0000-000065150000}"/>
    <cellStyle name="Percent 2 3 2" xfId="5473" xr:uid="{00000000-0005-0000-0000-000066150000}"/>
    <cellStyle name="Percent 2 3 3" xfId="5472" xr:uid="{00000000-0005-0000-0000-000067150000}"/>
    <cellStyle name="Percent 2 4" xfId="5474" xr:uid="{00000000-0005-0000-0000-000068150000}"/>
    <cellStyle name="Percent 2 5" xfId="5467" xr:uid="{00000000-0005-0000-0000-000069150000}"/>
    <cellStyle name="Percent 3" xfId="12" xr:uid="{00000000-0005-0000-0000-00006A150000}"/>
    <cellStyle name="Percent 3 10" xfId="5476" xr:uid="{00000000-0005-0000-0000-00006B150000}"/>
    <cellStyle name="Percent 3 10 2" xfId="5477" xr:uid="{00000000-0005-0000-0000-00006C150000}"/>
    <cellStyle name="Percent 3 11" xfId="5478" xr:uid="{00000000-0005-0000-0000-00006D150000}"/>
    <cellStyle name="Percent 3 12" xfId="5479" xr:uid="{00000000-0005-0000-0000-00006E150000}"/>
    <cellStyle name="Percent 3 13" xfId="5475" xr:uid="{00000000-0005-0000-0000-00006F150000}"/>
    <cellStyle name="Percent 3 2" xfId="5480" xr:uid="{00000000-0005-0000-0000-000070150000}"/>
    <cellStyle name="Percent 3 2 2" xfId="5481" xr:uid="{00000000-0005-0000-0000-000071150000}"/>
    <cellStyle name="Percent 3 2 2 2" xfId="5482" xr:uid="{00000000-0005-0000-0000-000072150000}"/>
    <cellStyle name="Percent 3 2 3" xfId="5483" xr:uid="{00000000-0005-0000-0000-000073150000}"/>
    <cellStyle name="Percent 3 2 3 2" xfId="5484" xr:uid="{00000000-0005-0000-0000-000074150000}"/>
    <cellStyle name="Percent 3 2 4" xfId="5485" xr:uid="{00000000-0005-0000-0000-000075150000}"/>
    <cellStyle name="Percent 3 2 4 2" xfId="5486" xr:uid="{00000000-0005-0000-0000-000076150000}"/>
    <cellStyle name="Percent 3 2 5" xfId="5487" xr:uid="{00000000-0005-0000-0000-000077150000}"/>
    <cellStyle name="Percent 3 2 5 2" xfId="5488" xr:uid="{00000000-0005-0000-0000-000078150000}"/>
    <cellStyle name="Percent 3 2 6" xfId="5489" xr:uid="{00000000-0005-0000-0000-000079150000}"/>
    <cellStyle name="Percent 3 2 6 2" xfId="5490" xr:uid="{00000000-0005-0000-0000-00007A150000}"/>
    <cellStyle name="Percent 3 2 7" xfId="5491" xr:uid="{00000000-0005-0000-0000-00007B150000}"/>
    <cellStyle name="Percent 3 3" xfId="5492" xr:uid="{00000000-0005-0000-0000-00007C150000}"/>
    <cellStyle name="Percent 3 3 2" xfId="5493" xr:uid="{00000000-0005-0000-0000-00007D150000}"/>
    <cellStyle name="Percent 3 3 2 2" xfId="5494" xr:uid="{00000000-0005-0000-0000-00007E150000}"/>
    <cellStyle name="Percent 3 3 3" xfId="5495" xr:uid="{00000000-0005-0000-0000-00007F150000}"/>
    <cellStyle name="Percent 3 3 3 2" xfId="5496" xr:uid="{00000000-0005-0000-0000-000080150000}"/>
    <cellStyle name="Percent 3 3 4" xfId="5497" xr:uid="{00000000-0005-0000-0000-000081150000}"/>
    <cellStyle name="Percent 3 3 4 2" xfId="5498" xr:uid="{00000000-0005-0000-0000-000082150000}"/>
    <cellStyle name="Percent 3 3 5" xfId="5499" xr:uid="{00000000-0005-0000-0000-000083150000}"/>
    <cellStyle name="Percent 3 3 5 2" xfId="5500" xr:uid="{00000000-0005-0000-0000-000084150000}"/>
    <cellStyle name="Percent 3 3 6" xfId="5501" xr:uid="{00000000-0005-0000-0000-000085150000}"/>
    <cellStyle name="Percent 3 3 6 2" xfId="5502" xr:uid="{00000000-0005-0000-0000-000086150000}"/>
    <cellStyle name="Percent 3 3 7" xfId="5503" xr:uid="{00000000-0005-0000-0000-000087150000}"/>
    <cellStyle name="Percent 3 4" xfId="5504" xr:uid="{00000000-0005-0000-0000-000088150000}"/>
    <cellStyle name="Percent 3 4 2" xfId="5505" xr:uid="{00000000-0005-0000-0000-000089150000}"/>
    <cellStyle name="Percent 3 4 2 2" xfId="5506" xr:uid="{00000000-0005-0000-0000-00008A150000}"/>
    <cellStyle name="Percent 3 4 3" xfId="5507" xr:uid="{00000000-0005-0000-0000-00008B150000}"/>
    <cellStyle name="Percent 3 5" xfId="5508" xr:uid="{00000000-0005-0000-0000-00008C150000}"/>
    <cellStyle name="Percent 3 5 2" xfId="5509" xr:uid="{00000000-0005-0000-0000-00008D150000}"/>
    <cellStyle name="Percent 3 5 2 2" xfId="5510" xr:uid="{00000000-0005-0000-0000-00008E150000}"/>
    <cellStyle name="Percent 3 5 3" xfId="5511" xr:uid="{00000000-0005-0000-0000-00008F150000}"/>
    <cellStyle name="Percent 3 6" xfId="5512" xr:uid="{00000000-0005-0000-0000-000090150000}"/>
    <cellStyle name="Percent 3 7" xfId="5513" xr:uid="{00000000-0005-0000-0000-000091150000}"/>
    <cellStyle name="Percent 3 7 2" xfId="5514" xr:uid="{00000000-0005-0000-0000-000092150000}"/>
    <cellStyle name="Percent 3 8" xfId="5515" xr:uid="{00000000-0005-0000-0000-000093150000}"/>
    <cellStyle name="Percent 3 8 2" xfId="5516" xr:uid="{00000000-0005-0000-0000-000094150000}"/>
    <cellStyle name="Percent 3 9" xfId="5517" xr:uid="{00000000-0005-0000-0000-000095150000}"/>
    <cellStyle name="Percent 3 9 2" xfId="5518" xr:uid="{00000000-0005-0000-0000-000096150000}"/>
    <cellStyle name="Percent 4" xfId="5519" xr:uid="{00000000-0005-0000-0000-000097150000}"/>
    <cellStyle name="Percent 4 2" xfId="5520" xr:uid="{00000000-0005-0000-0000-000098150000}"/>
    <cellStyle name="Percent 4 2 2" xfId="5521" xr:uid="{00000000-0005-0000-0000-000099150000}"/>
    <cellStyle name="Percent 4 3" xfId="5522" xr:uid="{00000000-0005-0000-0000-00009A150000}"/>
    <cellStyle name="Percent 4 4" xfId="5523" xr:uid="{00000000-0005-0000-0000-00009B150000}"/>
    <cellStyle name="Percent 4 4 2" xfId="5524" xr:uid="{00000000-0005-0000-0000-00009C150000}"/>
    <cellStyle name="Percent 4 5" xfId="5525" xr:uid="{00000000-0005-0000-0000-00009D150000}"/>
    <cellStyle name="Percent 4 5 2" xfId="5526" xr:uid="{00000000-0005-0000-0000-00009E150000}"/>
    <cellStyle name="Percent 4 6" xfId="5527" xr:uid="{00000000-0005-0000-0000-00009F150000}"/>
    <cellStyle name="Percent 4 6 2" xfId="5528" xr:uid="{00000000-0005-0000-0000-0000A0150000}"/>
    <cellStyle name="Percent 4 7" xfId="5529" xr:uid="{00000000-0005-0000-0000-0000A1150000}"/>
    <cellStyle name="Percent 4 7 2" xfId="5530" xr:uid="{00000000-0005-0000-0000-0000A2150000}"/>
    <cellStyle name="Percent 4 8" xfId="5531" xr:uid="{00000000-0005-0000-0000-0000A3150000}"/>
    <cellStyle name="Percent 4 9" xfId="5532" xr:uid="{00000000-0005-0000-0000-0000A4150000}"/>
    <cellStyle name="Percent 5" xfId="5533" xr:uid="{00000000-0005-0000-0000-0000A5150000}"/>
    <cellStyle name="Percent 5 2" xfId="5534" xr:uid="{00000000-0005-0000-0000-0000A6150000}"/>
    <cellStyle name="Percent 5 2 2" xfId="5535" xr:uid="{00000000-0005-0000-0000-0000A7150000}"/>
    <cellStyle name="Percent 5 3" xfId="5536" xr:uid="{00000000-0005-0000-0000-0000A8150000}"/>
    <cellStyle name="Percent 5 3 2" xfId="5537" xr:uid="{00000000-0005-0000-0000-0000A9150000}"/>
    <cellStyle name="Percent 5 4" xfId="5538" xr:uid="{00000000-0005-0000-0000-0000AA150000}"/>
    <cellStyle name="Percent 5 4 2" xfId="5539" xr:uid="{00000000-0005-0000-0000-0000AB150000}"/>
    <cellStyle name="Percent 5 5" xfId="5540" xr:uid="{00000000-0005-0000-0000-0000AC150000}"/>
    <cellStyle name="Percent 5 5 2" xfId="5541" xr:uid="{00000000-0005-0000-0000-0000AD150000}"/>
    <cellStyle name="Percent 5 6" xfId="5542" xr:uid="{00000000-0005-0000-0000-0000AE150000}"/>
    <cellStyle name="Percent 5 6 2" xfId="5543" xr:uid="{00000000-0005-0000-0000-0000AF150000}"/>
    <cellStyle name="Percent 5 7" xfId="5544" xr:uid="{00000000-0005-0000-0000-0000B0150000}"/>
    <cellStyle name="Percent 6" xfId="5545" xr:uid="{00000000-0005-0000-0000-0000B1150000}"/>
    <cellStyle name="Percent 6 2" xfId="5546" xr:uid="{00000000-0005-0000-0000-0000B2150000}"/>
    <cellStyle name="Percent 6 2 2" xfId="5547" xr:uid="{00000000-0005-0000-0000-0000B3150000}"/>
    <cellStyle name="Percent 6 3" xfId="5548" xr:uid="{00000000-0005-0000-0000-0000B4150000}"/>
    <cellStyle name="Percent 6 4" xfId="5549" xr:uid="{00000000-0005-0000-0000-0000B5150000}"/>
    <cellStyle name="Percent 7" xfId="5550" xr:uid="{00000000-0005-0000-0000-0000B6150000}"/>
    <cellStyle name="Percent 7 2" xfId="5551" xr:uid="{00000000-0005-0000-0000-0000B7150000}"/>
    <cellStyle name="Percent 7 2 2" xfId="5552" xr:uid="{00000000-0005-0000-0000-0000B8150000}"/>
    <cellStyle name="Percent 7 3" xfId="5553" xr:uid="{00000000-0005-0000-0000-0000B9150000}"/>
    <cellStyle name="Percent 8" xfId="5554" xr:uid="{00000000-0005-0000-0000-0000BA150000}"/>
    <cellStyle name="Percent 8 2" xfId="5555" xr:uid="{00000000-0005-0000-0000-0000BB150000}"/>
    <cellStyle name="Percent 9" xfId="5556" xr:uid="{00000000-0005-0000-0000-0000BC150000}"/>
    <cellStyle name="Percent 9 2" xfId="5557" xr:uid="{00000000-0005-0000-0000-0000BD150000}"/>
    <cellStyle name="Rangenames" xfId="5558" xr:uid="{00000000-0005-0000-0000-0000BE150000}"/>
    <cellStyle name="Style 1" xfId="5559" xr:uid="{00000000-0005-0000-0000-0000BF150000}"/>
    <cellStyle name="Style 21" xfId="5560" xr:uid="{00000000-0005-0000-0000-0000C0150000}"/>
    <cellStyle name="Style 24" xfId="5561" xr:uid="{00000000-0005-0000-0000-0000C1150000}"/>
    <cellStyle name="Style 25" xfId="5562" xr:uid="{00000000-0005-0000-0000-0000C2150000}"/>
    <cellStyle name="Style 26" xfId="5563" xr:uid="{00000000-0005-0000-0000-0000C3150000}"/>
    <cellStyle name="Style 27" xfId="5564" xr:uid="{00000000-0005-0000-0000-0000C4150000}"/>
    <cellStyle name="Transition" xfId="5565" xr:uid="{00000000-0005-0000-0000-0000C5150000}"/>
    <cellStyle name="Variable Inputs" xfId="5566" xr:uid="{00000000-0005-0000-0000-0000C615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16D9-3436-4084-B354-670B70A68B27}">
  <sheetPr>
    <tabColor rgb="FFFFFF00"/>
  </sheetPr>
  <dimension ref="B2:B6"/>
  <sheetViews>
    <sheetView tabSelected="1" view="pageLayout" zoomScaleNormal="100" workbookViewId="0">
      <selection activeCell="J10" sqref="J10"/>
    </sheetView>
  </sheetViews>
  <sheetFormatPr defaultRowHeight="12.75"/>
  <sheetData>
    <row r="2" spans="2:2">
      <c r="B2" t="s">
        <v>201</v>
      </c>
    </row>
    <row r="3" spans="2:2">
      <c r="B3" s="3" t="s">
        <v>185</v>
      </c>
    </row>
    <row r="4" spans="2:2">
      <c r="B4" t="s">
        <v>202</v>
      </c>
    </row>
    <row r="5" spans="2:2">
      <c r="B5" t="s">
        <v>203</v>
      </c>
    </row>
    <row r="6" spans="2:2">
      <c r="B6" t="s">
        <v>204</v>
      </c>
    </row>
  </sheetData>
  <pageMargins left="0.7" right="0.7" top="1.1145833333333333" bottom="0.75" header="0.3" footer="0.3"/>
  <pageSetup orientation="landscape" r:id="rId1"/>
  <headerFooter>
    <oddHeader xml:space="preserve">&amp;R&amp;"Times New Roman,Bold"PUCO Case No. 24-503-EL-FOR
Source Files
Work Tables
Page &amp;P of &amp;N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S35"/>
  <sheetViews>
    <sheetView showGridLines="0" view="pageLayout" zoomScaleNormal="100" workbookViewId="0">
      <selection activeCell="J10" sqref="J10"/>
    </sheetView>
  </sheetViews>
  <sheetFormatPr defaultColWidth="9.140625" defaultRowHeight="12.75"/>
  <cols>
    <col min="1" max="1" width="9.140625" style="27"/>
    <col min="2" max="2" width="3.7109375" style="27" bestFit="1" customWidth="1"/>
    <col min="3" max="3" width="10.5703125" style="27" customWidth="1"/>
    <col min="4" max="4" width="11.28515625" style="27" bestFit="1" customWidth="1"/>
    <col min="5" max="5" width="11.28515625" style="28" bestFit="1" customWidth="1"/>
    <col min="6" max="6" width="11.28515625" style="27" bestFit="1" customWidth="1"/>
    <col min="7" max="7" width="14.85546875" style="27" customWidth="1"/>
    <col min="8" max="8" width="11.42578125" style="27" customWidth="1"/>
    <col min="9" max="9" width="19" style="27" customWidth="1"/>
    <col min="10" max="10" width="20" style="27" bestFit="1" customWidth="1"/>
    <col min="11" max="11" width="18.7109375" style="27" customWidth="1"/>
    <col min="12" max="12" width="13.5703125" style="27" bestFit="1" customWidth="1"/>
    <col min="13" max="13" width="9.140625" style="27"/>
    <col min="14" max="14" width="11.28515625" style="27" bestFit="1" customWidth="1"/>
    <col min="15" max="15" width="9.140625" style="27"/>
    <col min="16" max="16" width="10.7109375" style="27" bestFit="1" customWidth="1"/>
    <col min="17" max="17" width="11.28515625" style="27" bestFit="1" customWidth="1"/>
    <col min="18" max="18" width="10.28515625" style="27" bestFit="1" customWidth="1"/>
    <col min="19" max="16384" width="9.140625" style="27"/>
  </cols>
  <sheetData>
    <row r="1" spans="2:19">
      <c r="D1" s="27" t="s">
        <v>17</v>
      </c>
      <c r="H1" s="29" t="s">
        <v>18</v>
      </c>
    </row>
    <row r="2" spans="2:19" ht="15">
      <c r="H2" s="28"/>
      <c r="I2" s="28"/>
      <c r="N2" s="198"/>
    </row>
    <row r="3" spans="2:19">
      <c r="H3" s="28"/>
      <c r="I3" s="28"/>
    </row>
    <row r="4" spans="2:19">
      <c r="B4" s="357" t="s">
        <v>148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</row>
    <row r="5" spans="2:19">
      <c r="B5" s="30"/>
      <c r="C5" s="30"/>
      <c r="D5" s="30"/>
      <c r="E5" s="31"/>
      <c r="F5" s="30"/>
      <c r="G5" s="30"/>
      <c r="H5" s="31"/>
      <c r="I5" s="31"/>
      <c r="J5" s="30"/>
      <c r="K5" s="30"/>
      <c r="L5" s="30"/>
    </row>
    <row r="6" spans="2:19">
      <c r="B6" s="359" t="s">
        <v>19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</row>
    <row r="7" spans="2:19">
      <c r="B7" s="30"/>
      <c r="C7" s="30"/>
      <c r="D7" s="30"/>
      <c r="E7" s="31"/>
      <c r="F7" s="30"/>
      <c r="G7" s="30"/>
      <c r="H7" s="31" t="s">
        <v>20</v>
      </c>
      <c r="I7" s="31"/>
      <c r="J7" s="30"/>
      <c r="K7" s="30"/>
      <c r="L7" s="30"/>
    </row>
    <row r="8" spans="2:19" ht="13.5" thickBot="1">
      <c r="B8" s="30"/>
      <c r="C8" s="30"/>
      <c r="D8" s="30"/>
      <c r="E8" s="31"/>
      <c r="F8" s="30"/>
      <c r="G8" s="30"/>
      <c r="H8" s="32" t="s">
        <v>21</v>
      </c>
      <c r="I8" s="32"/>
      <c r="J8" s="30"/>
      <c r="K8" s="30"/>
      <c r="L8" s="30"/>
    </row>
    <row r="9" spans="2:19">
      <c r="B9" s="33"/>
      <c r="C9" s="34"/>
      <c r="D9" s="34">
        <v>1</v>
      </c>
      <c r="E9" s="34">
        <v>2</v>
      </c>
      <c r="F9" s="34">
        <v>3</v>
      </c>
      <c r="G9" s="34">
        <v>4</v>
      </c>
      <c r="H9" s="34" t="s">
        <v>22</v>
      </c>
      <c r="I9" s="35" t="s">
        <v>23</v>
      </c>
      <c r="J9" s="34">
        <v>6</v>
      </c>
      <c r="K9" s="34">
        <v>7</v>
      </c>
      <c r="L9" s="36">
        <v>8</v>
      </c>
    </row>
    <row r="10" spans="2:19" ht="44.25" customHeight="1">
      <c r="B10" s="38"/>
      <c r="C10" s="39" t="s">
        <v>24</v>
      </c>
      <c r="D10" s="39" t="s">
        <v>25</v>
      </c>
      <c r="E10" s="39" t="s">
        <v>26</v>
      </c>
      <c r="F10" s="39" t="s">
        <v>27</v>
      </c>
      <c r="G10" s="39" t="s">
        <v>28</v>
      </c>
      <c r="H10" s="39" t="s">
        <v>29</v>
      </c>
      <c r="I10" s="134" t="s">
        <v>94</v>
      </c>
      <c r="J10" s="40" t="s">
        <v>30</v>
      </c>
      <c r="K10" s="134" t="s">
        <v>31</v>
      </c>
      <c r="L10" s="41" t="s">
        <v>32</v>
      </c>
    </row>
    <row r="11" spans="2:19" ht="29.25" customHeight="1">
      <c r="B11" s="38"/>
      <c r="C11" s="39"/>
      <c r="D11" s="42"/>
      <c r="E11" s="39"/>
      <c r="F11" s="39"/>
      <c r="G11" s="39"/>
      <c r="H11" s="39"/>
      <c r="I11" s="43"/>
      <c r="J11" s="39" t="s">
        <v>33</v>
      </c>
      <c r="K11" s="39"/>
      <c r="L11" s="41" t="s">
        <v>34</v>
      </c>
      <c r="P11" s="37"/>
      <c r="Q11" s="37"/>
      <c r="R11" s="37"/>
      <c r="S11" s="37"/>
    </row>
    <row r="12" spans="2:19">
      <c r="B12" s="38">
        <v>-5</v>
      </c>
      <c r="C12" s="267">
        <f>'FE-T1'!$BE$1+B12</f>
        <v>2019</v>
      </c>
      <c r="D12" s="268">
        <f ca="1">OFFSET(DEO_work!$AL$38,((C12-2021)*5),0)</f>
        <v>7215923</v>
      </c>
      <c r="E12" s="268">
        <f ca="1">OFFSET(DEO_work!$AL$39,(($C12-2021)*5),0)</f>
        <v>6396886</v>
      </c>
      <c r="F12" s="268">
        <f ca="1">OFFSET(DEO_work!$AL$40,(($C12-2021)*5),0)</f>
        <v>4864581</v>
      </c>
      <c r="G12" s="268">
        <v>0</v>
      </c>
      <c r="H12" s="268">
        <f ca="1">SUM(OFFSET(DEO_work!$AL$41,(($C12-2021)*5),0,2))</f>
        <v>1314387.45</v>
      </c>
      <c r="I12" s="268"/>
      <c r="J12" s="209">
        <f ca="1">SUM(D12:I12)</f>
        <v>19791777.449999999</v>
      </c>
      <c r="K12" s="209">
        <f ca="1">SUM(OFFSET(DEO_work!AO$10,B12,0,1,2))</f>
        <v>1147875.7995000069</v>
      </c>
      <c r="L12" s="210">
        <f ca="1">J12+K12</f>
        <v>20939653.249500006</v>
      </c>
      <c r="N12" s="60"/>
      <c r="O12" s="60"/>
      <c r="Q12" s="3"/>
      <c r="R12" s="3"/>
      <c r="S12" s="3"/>
    </row>
    <row r="13" spans="2:19">
      <c r="B13" s="38">
        <v>-4</v>
      </c>
      <c r="C13" s="267">
        <f>'FE-T1'!$BE$1+B13</f>
        <v>2020</v>
      </c>
      <c r="D13" s="268">
        <f ca="1">OFFSET(DEO_work!$AL$38,((C13-2021)*5),0)</f>
        <v>7535155.988604364</v>
      </c>
      <c r="E13" s="268">
        <f ca="1">OFFSET(DEO_work!$AL$39,(($C13-2021)*5),0)</f>
        <v>6038464.556702327</v>
      </c>
      <c r="F13" s="268">
        <f ca="1">OFFSET(DEO_work!$AL$40,(($C13-2021)*5),0)</f>
        <v>4598303.06426231</v>
      </c>
      <c r="G13" s="268">
        <v>0</v>
      </c>
      <c r="H13" s="268">
        <f ca="1">SUM(OFFSET(DEO_work!$AL$41,(($C13-2021)*5),0,2))</f>
        <v>1200407.0827940968</v>
      </c>
      <c r="I13" s="268"/>
      <c r="J13" s="209">
        <f t="shared" ref="J13:J16" ca="1" si="0">SUM(D13:I13)</f>
        <v>19372330.692363095</v>
      </c>
      <c r="K13" s="209">
        <f ca="1">SUM(OFFSET(DEO_work!AO$10,B13,0,1,2))</f>
        <v>1020220.8023000053</v>
      </c>
      <c r="L13" s="210">
        <f t="shared" ref="L13:L16" ca="1" si="1">J13+K13</f>
        <v>20392551.494663101</v>
      </c>
      <c r="N13" s="60"/>
      <c r="O13" s="60"/>
      <c r="P13" s="3"/>
      <c r="Q13" s="292"/>
      <c r="R13" s="292"/>
      <c r="S13" s="292"/>
    </row>
    <row r="14" spans="2:19">
      <c r="B14" s="38">
        <v>-3</v>
      </c>
      <c r="C14" s="267">
        <f>'FE-T1'!$BE$1+B14</f>
        <v>2021</v>
      </c>
      <c r="D14" s="268">
        <f ca="1">OFFSET(DEO_work!$AL$38,((C14-2021)*5),0)</f>
        <v>7456188.5956388731</v>
      </c>
      <c r="E14" s="268">
        <f ca="1">OFFSET(DEO_work!$AL$39,(($C14-2021)*5),0)</f>
        <v>6131826.3394117337</v>
      </c>
      <c r="F14" s="268">
        <f ca="1">OFFSET(DEO_work!$AL$40,(($C14-2021)*5),0)</f>
        <v>4777179.1981387222</v>
      </c>
      <c r="G14" s="268">
        <v>0</v>
      </c>
      <c r="H14" s="268">
        <f ca="1">SUM(OFFSET(DEO_work!$AL$41,(($C14-2021)*5),0,2))</f>
        <v>1211388.4730804772</v>
      </c>
      <c r="I14" s="268"/>
      <c r="J14" s="209">
        <f t="shared" ca="1" si="0"/>
        <v>19576582.606269807</v>
      </c>
      <c r="K14" s="209">
        <f ca="1">SUM(OFFSET(DEO_work!AO$10,B14,0,1,2))</f>
        <v>1260840.5740000003</v>
      </c>
      <c r="L14" s="210">
        <f t="shared" ca="1" si="1"/>
        <v>20837423.180269808</v>
      </c>
      <c r="N14" s="60"/>
      <c r="O14" s="60"/>
      <c r="Q14" s="123"/>
      <c r="R14" s="123"/>
      <c r="S14" s="123"/>
    </row>
    <row r="15" spans="2:19">
      <c r="B15" s="38">
        <v>-2</v>
      </c>
      <c r="C15" s="267">
        <f>'FE-T1'!$BE$1+B15</f>
        <v>2022</v>
      </c>
      <c r="D15" s="268">
        <f ca="1">OFFSET(DEO_work!$AL$38,((C15-2021)*5),0)</f>
        <v>7594500.4831683934</v>
      </c>
      <c r="E15" s="268">
        <f ca="1">OFFSET(DEO_work!$AL$39,(($C15-2021)*5),0)</f>
        <v>6174095.9763200032</v>
      </c>
      <c r="F15" s="268">
        <f ca="1">OFFSET(DEO_work!$AL$40,(($C15-2021)*5),0)</f>
        <v>4703900.216260409</v>
      </c>
      <c r="G15" s="268">
        <v>0</v>
      </c>
      <c r="H15" s="268">
        <f ca="1">SUM(OFFSET(DEO_work!$AL$41,(($C15-2021)*5),0,2))</f>
        <v>1203576.6191050736</v>
      </c>
      <c r="I15" s="268"/>
      <c r="J15" s="209">
        <f t="shared" ca="1" si="0"/>
        <v>19676073.294853877</v>
      </c>
      <c r="K15" s="209">
        <f ca="1">SUM(OFFSET(DEO_work!AO$10,B15,0,1,2))</f>
        <v>1370327.5286000001</v>
      </c>
      <c r="L15" s="210">
        <f t="shared" ca="1" si="1"/>
        <v>21046400.823453877</v>
      </c>
      <c r="N15" s="60"/>
      <c r="O15" s="60"/>
      <c r="P15" s="3" t="s">
        <v>140</v>
      </c>
      <c r="Q15" s="123"/>
      <c r="R15" s="123"/>
      <c r="S15" s="123"/>
    </row>
    <row r="16" spans="2:19">
      <c r="B16" s="38">
        <v>-1</v>
      </c>
      <c r="C16" s="267">
        <f>'FE-T1'!$BE$1+B16</f>
        <v>2023</v>
      </c>
      <c r="D16" s="268">
        <f ca="1">OFFSET(DEO_work!$AL$38,((C16-2021)*5),0)</f>
        <v>7526913.5978738945</v>
      </c>
      <c r="E16" s="268">
        <f ca="1">OFFSET(DEO_work!$AL$39,(($C16-2021)*5),0)</f>
        <v>6211901.2295690728</v>
      </c>
      <c r="F16" s="268">
        <f ca="1">OFFSET(DEO_work!$AL$40,(($C16-2021)*5),0)</f>
        <v>4606756.9604624771</v>
      </c>
      <c r="G16" s="268">
        <v>0</v>
      </c>
      <c r="H16" s="268">
        <f ca="1">SUM(OFFSET(DEO_work!$AL$41,(($C16-2021)*5),0,2))</f>
        <v>1158953.060272512</v>
      </c>
      <c r="I16" s="268"/>
      <c r="J16" s="209">
        <f t="shared" ca="1" si="0"/>
        <v>19504524.848177955</v>
      </c>
      <c r="K16" s="209">
        <f ca="1">SUM(OFFSET(DEO_work!AO$10,B16,0,1,2))</f>
        <v>1122006.0343123733</v>
      </c>
      <c r="L16" s="210">
        <f t="shared" ca="1" si="1"/>
        <v>20626530.882490329</v>
      </c>
      <c r="N16" s="60"/>
      <c r="O16" s="60"/>
      <c r="Q16" s="123"/>
      <c r="R16" s="123"/>
      <c r="S16" s="123"/>
    </row>
    <row r="17" spans="2:19" s="37" customFormat="1">
      <c r="B17" s="38">
        <v>0</v>
      </c>
      <c r="C17" s="22">
        <f>'FE-T1'!$BE$1+B17</f>
        <v>2024</v>
      </c>
      <c r="D17" s="230">
        <f ca="1">SUM(OFFSET(FC_Begin,1+12*($C17-2018),0,12,1))</f>
        <v>7611505.661012575</v>
      </c>
      <c r="E17" s="230">
        <f t="shared" ref="E17:E27" ca="1" si="2">SUM(OFFSET(FC_Begin,1+12*($C17-2018),2,12,1))</f>
        <v>6353944.9667051667</v>
      </c>
      <c r="F17" s="230">
        <f t="shared" ref="F17:F27" ca="1" si="3">SUM(OFFSET(FC_Begin,1+12*($C17-2018),4,12,1))</f>
        <v>4726775.4773452785</v>
      </c>
      <c r="G17" s="268">
        <v>0</v>
      </c>
      <c r="H17" s="230">
        <f t="shared" ref="H17:H27" ca="1" si="4">SUM(OFFSET(FC_Begin,1+12*($C17-2018),6,12,1))+SUM(OFFSET(FC_Begin,1+12*($C17-2018),8,12,1))</f>
        <v>1230477.2375910848</v>
      </c>
      <c r="I17" s="230">
        <f ca="1">SUM(OFFSET(DEO_work!$T$24,$C17-2018,0,1,2))</f>
        <v>0</v>
      </c>
      <c r="J17" s="231">
        <f t="shared" ref="J17" ca="1" si="5">SUM(D17:H17)-I17</f>
        <v>19922703.342654105</v>
      </c>
      <c r="K17" s="230">
        <f ca="1">OFFSET(DEO_work!$Z$4,'FE-D1'!C17-2019,0)</f>
        <v>1117149.796619056</v>
      </c>
      <c r="L17" s="232">
        <f t="shared" ref="L17:L27" ca="1" si="6">J17+K17</f>
        <v>21039853.139273163</v>
      </c>
      <c r="N17" s="60"/>
      <c r="O17" s="56">
        <f>C17</f>
        <v>2024</v>
      </c>
      <c r="P17" s="190">
        <f ca="1">SUM('FE-D5 (BDSM) &amp; (ADSM)'!F10:F21)-L17</f>
        <v>0</v>
      </c>
      <c r="Q17" s="123"/>
      <c r="R17" s="123"/>
      <c r="S17" s="123"/>
    </row>
    <row r="18" spans="2:19">
      <c r="B18" s="38">
        <v>1</v>
      </c>
      <c r="C18" s="22">
        <f>'FE-T1'!$BE$1+B18</f>
        <v>2025</v>
      </c>
      <c r="D18" s="230">
        <f t="shared" ref="D18:D27" ca="1" si="7">SUM(OFFSET(FC_Begin,1+12*($C18-2018),0,12,1))</f>
        <v>7613450.2426938945</v>
      </c>
      <c r="E18" s="230">
        <f t="shared" ca="1" si="2"/>
        <v>6209817.4846546622</v>
      </c>
      <c r="F18" s="230">
        <f t="shared" ca="1" si="3"/>
        <v>5074521.7968406733</v>
      </c>
      <c r="G18" s="268">
        <v>0</v>
      </c>
      <c r="H18" s="230">
        <f t="shared" ca="1" si="4"/>
        <v>1284936.3268741774</v>
      </c>
      <c r="I18" s="230">
        <f ca="1">SUM(OFFSET(DEO_work!$T$24,$C18-2018,0,1,2))</f>
        <v>0</v>
      </c>
      <c r="J18" s="231">
        <f t="shared" ref="J18:J27" ca="1" si="8">SUM(D18:H18)-I18</f>
        <v>20182725.851063408</v>
      </c>
      <c r="K18" s="230">
        <f ca="1">OFFSET(DEO_work!$Z$4,'FE-D1'!C18-2019,0)</f>
        <v>1131725.8945069211</v>
      </c>
      <c r="L18" s="232">
        <f t="shared" ca="1" si="6"/>
        <v>21314451.745570328</v>
      </c>
      <c r="N18" s="60"/>
      <c r="O18" s="56">
        <f>C18</f>
        <v>2025</v>
      </c>
      <c r="P18" s="190">
        <f ca="1">SUM('FE-D5 (BDSM) &amp; (ADSM)'!F25:F36)-L18</f>
        <v>0</v>
      </c>
      <c r="Q18" s="123"/>
      <c r="R18" s="123"/>
    </row>
    <row r="19" spans="2:19">
      <c r="B19" s="38">
        <v>2</v>
      </c>
      <c r="C19" s="22">
        <f>'FE-T1'!$BE$1+B19</f>
        <v>2026</v>
      </c>
      <c r="D19" s="230">
        <f t="shared" ca="1" si="7"/>
        <v>7628266.8665238004</v>
      </c>
      <c r="E19" s="230">
        <f t="shared" ca="1" si="2"/>
        <v>6203753.4066767357</v>
      </c>
      <c r="F19" s="230">
        <f t="shared" ca="1" si="3"/>
        <v>5113117.1216210527</v>
      </c>
      <c r="G19" s="268">
        <v>0</v>
      </c>
      <c r="H19" s="230">
        <f t="shared" ca="1" si="4"/>
        <v>1286814.3203496563</v>
      </c>
      <c r="I19" s="230">
        <f ca="1">SUM(OFFSET(DEO_work!$T$24,$C19-2018,0,1,2))</f>
        <v>0</v>
      </c>
      <c r="J19" s="231">
        <f t="shared" ca="1" si="8"/>
        <v>20231951.715171244</v>
      </c>
      <c r="K19" s="230">
        <f ca="1">OFFSET(DEO_work!$Z$4,'FE-D1'!C19-2019,0)</f>
        <v>1134461.5643263953</v>
      </c>
      <c r="L19" s="232">
        <f t="shared" ca="1" si="6"/>
        <v>21366413.279497638</v>
      </c>
      <c r="N19" s="60"/>
      <c r="O19" s="60"/>
      <c r="Q19" s="123"/>
      <c r="R19" s="123"/>
    </row>
    <row r="20" spans="2:19">
      <c r="B20" s="38">
        <v>3</v>
      </c>
      <c r="C20" s="22">
        <f>'FE-T1'!$BE$1+B20</f>
        <v>2027</v>
      </c>
      <c r="D20" s="230">
        <f t="shared" ca="1" si="7"/>
        <v>7662989.2407016503</v>
      </c>
      <c r="E20" s="230">
        <f t="shared" ca="1" si="2"/>
        <v>6199907.1148954164</v>
      </c>
      <c r="F20" s="230">
        <f t="shared" ca="1" si="3"/>
        <v>5117093.2511489214</v>
      </c>
      <c r="G20" s="268">
        <v>0</v>
      </c>
      <c r="H20" s="230">
        <f t="shared" ca="1" si="4"/>
        <v>1286821.0335132645</v>
      </c>
      <c r="I20" s="230">
        <f ca="1">SUM(OFFSET(DEO_work!$T$24,$C20-2018,0,1,2))</f>
        <v>0</v>
      </c>
      <c r="J20" s="231">
        <f t="shared" ca="1" si="8"/>
        <v>20266810.640259251</v>
      </c>
      <c r="K20" s="230">
        <f ca="1">OFFSET(DEO_work!$Z$4,'FE-D1'!C20-2019,0)</f>
        <v>1136397.9792233296</v>
      </c>
      <c r="L20" s="232">
        <f t="shared" ca="1" si="6"/>
        <v>21403208.619482581</v>
      </c>
      <c r="N20" s="60"/>
      <c r="O20" s="60"/>
      <c r="Q20" s="123"/>
      <c r="R20" s="123"/>
    </row>
    <row r="21" spans="2:19">
      <c r="B21" s="38">
        <v>4</v>
      </c>
      <c r="C21" s="22">
        <f>'FE-T1'!$BE$1+B21</f>
        <v>2028</v>
      </c>
      <c r="D21" s="230">
        <f t="shared" ca="1" si="7"/>
        <v>7718086.5080253789</v>
      </c>
      <c r="E21" s="230">
        <f t="shared" ca="1" si="2"/>
        <v>6223065.6700452454</v>
      </c>
      <c r="F21" s="230">
        <f t="shared" ca="1" si="3"/>
        <v>5121785.1508530192</v>
      </c>
      <c r="G21" s="268">
        <v>0</v>
      </c>
      <c r="H21" s="230">
        <f t="shared" ca="1" si="4"/>
        <v>1287033.8011835124</v>
      </c>
      <c r="I21" s="230">
        <f ca="1">SUM(OFFSET(DEO_work!$T$24,$C21-2018,0,1,2))</f>
        <v>0</v>
      </c>
      <c r="J21" s="231">
        <f t="shared" ca="1" si="8"/>
        <v>20349971.130107157</v>
      </c>
      <c r="K21" s="230">
        <f ca="1">OFFSET(DEO_work!$Z$4,'FE-D1'!C21-2019,0)</f>
        <v>1141017.5215792691</v>
      </c>
      <c r="L21" s="232">
        <f t="shared" ca="1" si="6"/>
        <v>21490988.651686426</v>
      </c>
      <c r="N21" s="60"/>
      <c r="O21" s="60"/>
      <c r="Q21" s="123"/>
      <c r="R21" s="123"/>
    </row>
    <row r="22" spans="2:19">
      <c r="B22" s="38">
        <v>5</v>
      </c>
      <c r="C22" s="22">
        <f>'FE-T1'!$BE$1+B22</f>
        <v>2029</v>
      </c>
      <c r="D22" s="230">
        <f t="shared" ca="1" si="7"/>
        <v>7734530.1980333794</v>
      </c>
      <c r="E22" s="230">
        <f t="shared" ca="1" si="2"/>
        <v>6223351.5814615805</v>
      </c>
      <c r="F22" s="230">
        <f t="shared" ca="1" si="3"/>
        <v>5125377.9036035407</v>
      </c>
      <c r="G22" s="268">
        <v>0</v>
      </c>
      <c r="H22" s="230">
        <f t="shared" ca="1" si="4"/>
        <v>1287283.8111462663</v>
      </c>
      <c r="I22" s="230">
        <f ca="1">SUM(OFFSET(DEO_work!$T$24,$C22-2018,0,1,2))</f>
        <v>0</v>
      </c>
      <c r="J22" s="231">
        <f t="shared" ca="1" si="8"/>
        <v>20370543.494244769</v>
      </c>
      <c r="K22" s="230">
        <f ca="1">OFFSET(DEO_work!$Z$4,'FE-D1'!C22-2019,0)</f>
        <v>1142160.3107278089</v>
      </c>
      <c r="L22" s="232">
        <f t="shared" ca="1" si="6"/>
        <v>21512703.804972578</v>
      </c>
      <c r="N22" s="60"/>
      <c r="O22" s="60"/>
      <c r="Q22" s="123"/>
      <c r="R22" s="123"/>
    </row>
    <row r="23" spans="2:19">
      <c r="B23" s="38">
        <v>6</v>
      </c>
      <c r="C23" s="22">
        <f>'FE-T1'!$BE$1+B23</f>
        <v>2030</v>
      </c>
      <c r="D23" s="230">
        <f t="shared" ca="1" si="7"/>
        <v>7775859.3449800881</v>
      </c>
      <c r="E23" s="230">
        <f t="shared" ca="1" si="2"/>
        <v>6237836.54171809</v>
      </c>
      <c r="F23" s="230">
        <f t="shared" ca="1" si="3"/>
        <v>5129919.1152460435</v>
      </c>
      <c r="G23" s="268">
        <v>0</v>
      </c>
      <c r="H23" s="230">
        <f t="shared" ca="1" si="4"/>
        <v>1287434.220010181</v>
      </c>
      <c r="I23" s="230">
        <f ca="1">SUM(OFFSET(DEO_work!$T$24,$C23-2018,0,1,2))</f>
        <v>0</v>
      </c>
      <c r="J23" s="231">
        <f t="shared" ca="1" si="8"/>
        <v>20431049.221954402</v>
      </c>
      <c r="K23" s="230">
        <f ca="1">OFFSET(DEO_work!$Z$4,'FE-D1'!C23-2019,0)</f>
        <v>1145521.3871956109</v>
      </c>
      <c r="L23" s="232">
        <f t="shared" ca="1" si="6"/>
        <v>21576570.609150011</v>
      </c>
      <c r="N23" s="60"/>
      <c r="O23" s="60"/>
      <c r="Q23" s="123"/>
      <c r="R23" s="123"/>
    </row>
    <row r="24" spans="2:19">
      <c r="B24" s="38">
        <v>7</v>
      </c>
      <c r="C24" s="22">
        <f>'FE-T1'!$BE$1+B24</f>
        <v>2031</v>
      </c>
      <c r="D24" s="230">
        <f t="shared" ca="1" si="7"/>
        <v>7839535.111974461</v>
      </c>
      <c r="E24" s="230">
        <f t="shared" ca="1" si="2"/>
        <v>6269746.3812629888</v>
      </c>
      <c r="F24" s="230">
        <f t="shared" ca="1" si="3"/>
        <v>5135399.6530341133</v>
      </c>
      <c r="G24" s="268">
        <v>0</v>
      </c>
      <c r="H24" s="230">
        <f t="shared" ca="1" si="4"/>
        <v>1287493.2310274672</v>
      </c>
      <c r="I24" s="230">
        <f ca="1">SUM(OFFSET(DEO_work!$T$24,$C24-2018,0,1,2))</f>
        <v>0</v>
      </c>
      <c r="J24" s="231">
        <f t="shared" ca="1" si="8"/>
        <v>20532174.377299033</v>
      </c>
      <c r="K24" s="230">
        <f ca="1">OFFSET(DEO_work!$Z$4,'FE-D1'!C24-2019,0)</f>
        <v>1151138.8616529342</v>
      </c>
      <c r="L24" s="232">
        <f t="shared" ca="1" si="6"/>
        <v>21683313.238951966</v>
      </c>
      <c r="N24" s="60"/>
      <c r="O24" s="60"/>
      <c r="Q24" s="123"/>
      <c r="R24" s="123"/>
    </row>
    <row r="25" spans="2:19">
      <c r="B25" s="38">
        <v>8</v>
      </c>
      <c r="C25" s="22">
        <f>'FE-T1'!$BE$1+B25</f>
        <v>2032</v>
      </c>
      <c r="D25" s="230">
        <f t="shared" ca="1" si="7"/>
        <v>7935048.747082795</v>
      </c>
      <c r="E25" s="230">
        <f t="shared" ca="1" si="2"/>
        <v>6332616.7912734104</v>
      </c>
      <c r="F25" s="230">
        <f t="shared" ca="1" si="3"/>
        <v>5142596.6621794105</v>
      </c>
      <c r="G25" s="268">
        <v>0</v>
      </c>
      <c r="H25" s="230">
        <f t="shared" ca="1" si="4"/>
        <v>1287602.4818490648</v>
      </c>
      <c r="I25" s="230">
        <f ca="1">SUM(OFFSET(DEO_work!$T$24,$C25-2018,0,1,2))</f>
        <v>0</v>
      </c>
      <c r="J25" s="231">
        <f t="shared" ca="1" si="8"/>
        <v>20697864.682384681</v>
      </c>
      <c r="K25" s="230">
        <f ca="1">OFFSET(DEO_work!$Z$4,'FE-D1'!C25-2019,0)</f>
        <v>1160342.9123510304</v>
      </c>
      <c r="L25" s="232">
        <f t="shared" ca="1" si="6"/>
        <v>21858207.594735712</v>
      </c>
      <c r="N25" s="60"/>
      <c r="O25" s="60"/>
      <c r="Q25" s="123"/>
      <c r="R25" s="123"/>
    </row>
    <row r="26" spans="2:19">
      <c r="B26" s="38">
        <v>9</v>
      </c>
      <c r="C26" s="22">
        <f>'FE-T1'!$BE$1+B26</f>
        <v>2033</v>
      </c>
      <c r="D26" s="230">
        <f t="shared" ca="1" si="7"/>
        <v>8017965.4783433517</v>
      </c>
      <c r="E26" s="230">
        <f t="shared" ca="1" si="2"/>
        <v>6379380.6752004549</v>
      </c>
      <c r="F26" s="230">
        <f t="shared" ca="1" si="3"/>
        <v>5150084.6431521112</v>
      </c>
      <c r="G26" s="268">
        <v>0</v>
      </c>
      <c r="H26" s="230">
        <f t="shared" ca="1" si="4"/>
        <v>1287805.0514087281</v>
      </c>
      <c r="I26" s="230">
        <f ca="1">SUM(OFFSET(DEO_work!$T$24,$C26-2018,0,1,2))</f>
        <v>0</v>
      </c>
      <c r="J26" s="231">
        <f t="shared" ca="1" si="8"/>
        <v>20835235.848104645</v>
      </c>
      <c r="K26" s="230">
        <f ca="1">OFFSET(DEO_work!$Z$4,'FE-D1'!C26-2019,0)</f>
        <v>1167973.8426766733</v>
      </c>
      <c r="L26" s="232">
        <f t="shared" ca="1" si="6"/>
        <v>22003209.690781318</v>
      </c>
      <c r="N26" s="60"/>
      <c r="O26" s="60"/>
      <c r="Q26" s="123"/>
      <c r="R26" s="123"/>
    </row>
    <row r="27" spans="2:19" ht="13.5" thickBot="1">
      <c r="B27" s="45">
        <v>10</v>
      </c>
      <c r="C27" s="62">
        <f>'FE-T1'!$BE$1+B27</f>
        <v>2034</v>
      </c>
      <c r="D27" s="300">
        <f t="shared" ca="1" si="7"/>
        <v>8123737.898530351</v>
      </c>
      <c r="E27" s="300">
        <f t="shared" ca="1" si="2"/>
        <v>6450379.0431132847</v>
      </c>
      <c r="F27" s="300">
        <f t="shared" ca="1" si="3"/>
        <v>5158918.999335967</v>
      </c>
      <c r="G27" s="301">
        <v>0</v>
      </c>
      <c r="H27" s="300">
        <f t="shared" ca="1" si="4"/>
        <v>1288116.991805654</v>
      </c>
      <c r="I27" s="300">
        <f ca="1">SUM(OFFSET(DEO_work!$T$24,$C27-2018,0,1,2))</f>
        <v>0</v>
      </c>
      <c r="J27" s="302">
        <f t="shared" ca="1" si="8"/>
        <v>21021152.932785258</v>
      </c>
      <c r="K27" s="300">
        <f ca="1">OFFSET(DEO_work!$Z$4,'FE-D1'!C27-2019,0)</f>
        <v>1178301.4853963726</v>
      </c>
      <c r="L27" s="233">
        <f t="shared" ca="1" si="6"/>
        <v>22199454.418181632</v>
      </c>
      <c r="N27" s="60"/>
      <c r="O27" s="60"/>
      <c r="Q27" s="123"/>
      <c r="R27" s="123"/>
    </row>
    <row r="28" spans="2:19">
      <c r="B28" s="30"/>
      <c r="C28" s="30"/>
      <c r="D28" s="30"/>
      <c r="E28" s="31"/>
      <c r="F28" s="30"/>
      <c r="G28" s="30"/>
      <c r="H28" s="30"/>
      <c r="I28" s="235"/>
      <c r="J28" s="30"/>
      <c r="K28" s="30"/>
      <c r="L28" s="30"/>
      <c r="O28" s="60"/>
      <c r="Q28" s="123"/>
      <c r="R28" s="123"/>
    </row>
    <row r="29" spans="2:19">
      <c r="B29" s="30" t="s">
        <v>35</v>
      </c>
      <c r="C29" s="30"/>
      <c r="D29" s="30"/>
      <c r="E29" s="31"/>
      <c r="F29" s="30"/>
      <c r="G29" s="30"/>
      <c r="H29" s="30"/>
      <c r="I29" s="30"/>
      <c r="J29" s="235"/>
      <c r="K29" s="30"/>
      <c r="L29" s="30"/>
      <c r="O29" s="60"/>
      <c r="Q29" s="123"/>
      <c r="R29" s="123"/>
    </row>
    <row r="30" spans="2:19">
      <c r="B30" s="47" t="s">
        <v>36</v>
      </c>
      <c r="C30" s="30"/>
      <c r="D30" s="30"/>
      <c r="E30" s="31"/>
      <c r="F30" s="30"/>
      <c r="G30" s="30"/>
      <c r="H30" s="30"/>
      <c r="I30" s="30"/>
      <c r="J30" s="30"/>
      <c r="K30" s="30"/>
      <c r="L30" s="30"/>
      <c r="O30" s="60"/>
      <c r="Q30" s="123"/>
      <c r="R30" s="123"/>
    </row>
    <row r="31" spans="2:19">
      <c r="B31" s="30" t="s">
        <v>37</v>
      </c>
      <c r="C31" s="30"/>
      <c r="D31" s="30"/>
      <c r="E31" s="31"/>
      <c r="F31" s="30"/>
      <c r="G31" s="30"/>
      <c r="H31" s="30"/>
      <c r="I31" s="30"/>
      <c r="J31" s="30"/>
      <c r="K31" s="30"/>
      <c r="L31" s="30"/>
      <c r="O31" s="60"/>
      <c r="Q31" s="123"/>
      <c r="R31" s="123"/>
    </row>
    <row r="32" spans="2:19">
      <c r="B32" s="48" t="s">
        <v>38</v>
      </c>
      <c r="C32" s="47"/>
      <c r="D32" s="30"/>
      <c r="E32" s="31"/>
      <c r="F32" s="30"/>
      <c r="G32" s="30"/>
      <c r="H32" s="30"/>
      <c r="I32" s="30"/>
      <c r="J32" s="30"/>
      <c r="K32" s="30"/>
      <c r="L32" s="30"/>
      <c r="O32" s="60"/>
      <c r="Q32" s="123"/>
      <c r="R32" s="123"/>
    </row>
    <row r="33" spans="2:18">
      <c r="B33" s="48" t="s">
        <v>39</v>
      </c>
      <c r="C33" s="47"/>
      <c r="D33" s="30"/>
      <c r="E33" s="31"/>
      <c r="F33" s="30"/>
      <c r="G33" s="30"/>
      <c r="H33" s="30"/>
      <c r="I33" s="30"/>
      <c r="J33" s="30"/>
      <c r="K33" s="30"/>
      <c r="L33" s="30"/>
      <c r="O33" s="60"/>
      <c r="Q33" s="123"/>
      <c r="R33" s="123"/>
    </row>
    <row r="34" spans="2:18">
      <c r="B34" s="48" t="s">
        <v>40</v>
      </c>
      <c r="C34" s="47"/>
      <c r="D34" s="30"/>
      <c r="E34" s="31"/>
      <c r="F34" s="30"/>
      <c r="G34" s="30"/>
      <c r="H34" s="30"/>
      <c r="I34" s="30"/>
      <c r="J34" s="30"/>
      <c r="K34" s="30"/>
      <c r="L34" s="30"/>
      <c r="O34" s="60"/>
      <c r="Q34" s="123"/>
      <c r="R34" s="123"/>
    </row>
    <row r="35" spans="2:18">
      <c r="O35" s="60"/>
      <c r="Q35" s="123"/>
      <c r="R35" s="123"/>
    </row>
  </sheetData>
  <mergeCells count="2">
    <mergeCell ref="B4:L4"/>
    <mergeCell ref="B6:L6"/>
  </mergeCells>
  <pageMargins left="0.7" right="0.7" top="0.75" bottom="0.75" header="0.3" footer="0.3"/>
  <pageSetup scale="53" orientation="landscape" horizontalDpi="300" verticalDpi="300" r:id="rId1"/>
  <headerFooter>
    <oddHeader xml:space="preserve">&amp;R&amp;"Times New Roman,Bold"PUCO Case No. 24-503-EL-FOR
Source Files
Work Tables
Page &amp;P of &amp;N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S35"/>
  <sheetViews>
    <sheetView showGridLines="0" view="pageLayout" zoomScaleNormal="100" workbookViewId="0">
      <selection activeCell="J10" sqref="J10"/>
    </sheetView>
  </sheetViews>
  <sheetFormatPr defaultRowHeight="12.75"/>
  <cols>
    <col min="2" max="2" width="3.28515625" bestFit="1" customWidth="1"/>
    <col min="3" max="3" width="6.140625" customWidth="1"/>
    <col min="4" max="4" width="11.28515625" bestFit="1" customWidth="1"/>
    <col min="5" max="5" width="10.85546875" bestFit="1" customWidth="1"/>
    <col min="6" max="6" width="11.7109375" customWidth="1"/>
    <col min="7" max="7" width="18.7109375" customWidth="1"/>
    <col min="8" max="8" width="14.140625" customWidth="1"/>
    <col min="9" max="9" width="19.7109375" bestFit="1" customWidth="1"/>
    <col min="10" max="10" width="18.7109375" customWidth="1"/>
    <col min="11" max="11" width="12.7109375" customWidth="1"/>
    <col min="12" max="12" width="9.28515625" bestFit="1" customWidth="1"/>
    <col min="13" max="13" width="11.5703125" bestFit="1" customWidth="1"/>
    <col min="16" max="16" width="9.28515625" customWidth="1"/>
  </cols>
  <sheetData>
    <row r="2" spans="2:19">
      <c r="H2" s="1"/>
    </row>
    <row r="3" spans="2:19">
      <c r="H3" s="1"/>
    </row>
    <row r="4" spans="2:19">
      <c r="B4" s="352" t="s">
        <v>148</v>
      </c>
      <c r="C4" s="353"/>
      <c r="D4" s="353"/>
      <c r="E4" s="353"/>
      <c r="F4" s="353"/>
      <c r="G4" s="353"/>
      <c r="H4" s="353"/>
      <c r="I4" s="353"/>
      <c r="J4" s="353"/>
      <c r="K4" s="353"/>
    </row>
    <row r="5" spans="2:19">
      <c r="B5" s="6"/>
      <c r="C5" s="6"/>
      <c r="D5" s="6"/>
      <c r="E5" s="6"/>
      <c r="F5" s="6"/>
      <c r="G5" s="6"/>
      <c r="H5" s="5"/>
      <c r="I5" s="6"/>
      <c r="J5" s="6"/>
      <c r="K5" s="6"/>
    </row>
    <row r="6" spans="2:19">
      <c r="B6" s="354" t="s">
        <v>19</v>
      </c>
      <c r="C6" s="354"/>
      <c r="D6" s="354"/>
      <c r="E6" s="354"/>
      <c r="F6" s="354"/>
      <c r="G6" s="354"/>
      <c r="H6" s="354"/>
      <c r="I6" s="354"/>
      <c r="J6" s="354"/>
      <c r="K6" s="354"/>
    </row>
    <row r="7" spans="2:19">
      <c r="B7" s="356" t="s">
        <v>20</v>
      </c>
      <c r="C7" s="356"/>
      <c r="D7" s="356"/>
      <c r="E7" s="356"/>
      <c r="F7" s="356"/>
      <c r="G7" s="356"/>
      <c r="H7" s="356"/>
      <c r="I7" s="356"/>
      <c r="J7" s="356"/>
      <c r="K7" s="356"/>
    </row>
    <row r="8" spans="2:19" ht="13.5" thickBot="1">
      <c r="B8" s="355" t="s">
        <v>41</v>
      </c>
      <c r="C8" s="355"/>
      <c r="D8" s="355"/>
      <c r="E8" s="355"/>
      <c r="F8" s="355"/>
      <c r="G8" s="355"/>
      <c r="H8" s="355"/>
      <c r="I8" s="355"/>
      <c r="J8" s="355"/>
      <c r="K8" s="355"/>
    </row>
    <row r="9" spans="2:19">
      <c r="B9" s="49"/>
      <c r="C9" s="50"/>
      <c r="D9" s="50">
        <v>1</v>
      </c>
      <c r="E9" s="50">
        <v>2</v>
      </c>
      <c r="F9" s="50">
        <v>3</v>
      </c>
      <c r="G9" s="50">
        <v>4</v>
      </c>
      <c r="H9" s="50">
        <v>5</v>
      </c>
      <c r="I9" s="50">
        <v>6</v>
      </c>
      <c r="J9" s="50">
        <v>7</v>
      </c>
      <c r="K9" s="51">
        <v>8</v>
      </c>
    </row>
    <row r="10" spans="2:19" ht="29.25" customHeight="1">
      <c r="B10" s="52"/>
      <c r="C10" s="53" t="s">
        <v>24</v>
      </c>
      <c r="D10" s="53" t="s">
        <v>25</v>
      </c>
      <c r="E10" s="53" t="s">
        <v>26</v>
      </c>
      <c r="F10" s="53" t="s">
        <v>27</v>
      </c>
      <c r="G10" s="53" t="s">
        <v>28</v>
      </c>
      <c r="H10" s="53" t="s">
        <v>29</v>
      </c>
      <c r="I10" s="53" t="s">
        <v>42</v>
      </c>
      <c r="J10" s="134" t="s">
        <v>31</v>
      </c>
      <c r="K10" s="54" t="s">
        <v>32</v>
      </c>
    </row>
    <row r="11" spans="2:19">
      <c r="B11" s="52"/>
      <c r="C11" s="53"/>
      <c r="D11" s="53"/>
      <c r="E11" s="53"/>
      <c r="F11" s="53"/>
      <c r="G11" s="53"/>
      <c r="H11" s="53"/>
      <c r="I11" s="53" t="s">
        <v>43</v>
      </c>
      <c r="J11" s="53"/>
      <c r="K11" s="54" t="s">
        <v>34</v>
      </c>
      <c r="P11" s="3"/>
      <c r="Q11" s="3"/>
      <c r="R11" s="3"/>
      <c r="S11" s="3"/>
    </row>
    <row r="12" spans="2:19">
      <c r="B12" s="21">
        <v>-5</v>
      </c>
      <c r="C12" s="22">
        <f>'FE-T1'!$BE$1+B12</f>
        <v>2019</v>
      </c>
      <c r="D12" s="305">
        <f ca="1">'FE-D1'!D12</f>
        <v>7215923</v>
      </c>
      <c r="E12" s="305">
        <f ca="1">'FE-D1'!E12</f>
        <v>6396886</v>
      </c>
      <c r="F12" s="305">
        <f ca="1">'FE-D1'!F12</f>
        <v>4864581</v>
      </c>
      <c r="G12" s="305">
        <f>'FE-D1'!G12</f>
        <v>0</v>
      </c>
      <c r="H12" s="305">
        <f ca="1">'FE-D1'!H12</f>
        <v>1314387.45</v>
      </c>
      <c r="I12" s="305">
        <f t="shared" ref="I12:I15" ca="1" si="0">SUM(D12:H12)</f>
        <v>19791777.449999999</v>
      </c>
      <c r="J12" s="305">
        <f ca="1">'FE-D1'!K12</f>
        <v>1147875.7995000069</v>
      </c>
      <c r="K12" s="305">
        <f t="shared" ref="K12:K15" ca="1" si="1">I12+J12</f>
        <v>20939653.249500006</v>
      </c>
      <c r="L12" s="56"/>
      <c r="P12" s="3" t="s">
        <v>141</v>
      </c>
      <c r="Q12" s="3"/>
      <c r="R12" s="3"/>
      <c r="S12" s="3"/>
    </row>
    <row r="13" spans="2:19">
      <c r="B13" s="21">
        <v>-4</v>
      </c>
      <c r="C13" s="22">
        <f>'FE-T1'!$BE$1+B13</f>
        <v>2020</v>
      </c>
      <c r="D13" s="305">
        <f ca="1">'FE-D1'!D13</f>
        <v>7535155.988604364</v>
      </c>
      <c r="E13" s="305">
        <f ca="1">'FE-D1'!E13</f>
        <v>6038464.556702327</v>
      </c>
      <c r="F13" s="305">
        <f ca="1">'FE-D1'!F13</f>
        <v>4598303.06426231</v>
      </c>
      <c r="G13" s="305">
        <f>'FE-D1'!G13</f>
        <v>0</v>
      </c>
      <c r="H13" s="305">
        <f ca="1">'FE-D1'!H13</f>
        <v>1200407.0827940968</v>
      </c>
      <c r="I13" s="305">
        <f t="shared" ca="1" si="0"/>
        <v>19372330.692363095</v>
      </c>
      <c r="J13" s="305">
        <f ca="1">'FE-D1'!K13</f>
        <v>1020220.8023000053</v>
      </c>
      <c r="K13" s="305">
        <f t="shared" ca="1" si="1"/>
        <v>20392551.494663101</v>
      </c>
      <c r="L13" s="56"/>
      <c r="P13" s="3"/>
      <c r="Q13" s="3"/>
      <c r="R13" s="3"/>
      <c r="S13" s="3"/>
    </row>
    <row r="14" spans="2:19">
      <c r="B14" s="21">
        <v>-3</v>
      </c>
      <c r="C14" s="22">
        <f>'FE-T1'!$BE$1+B14</f>
        <v>2021</v>
      </c>
      <c r="D14" s="305">
        <f ca="1">'FE-D1'!D14</f>
        <v>7456188.5956388731</v>
      </c>
      <c r="E14" s="305">
        <f ca="1">'FE-D1'!E14</f>
        <v>6131826.3394117337</v>
      </c>
      <c r="F14" s="305">
        <f ca="1">'FE-D1'!F14</f>
        <v>4777179.1981387222</v>
      </c>
      <c r="G14" s="305">
        <f>'FE-D1'!G14</f>
        <v>0</v>
      </c>
      <c r="H14" s="305">
        <f ca="1">'FE-D1'!H14</f>
        <v>1211388.4730804772</v>
      </c>
      <c r="I14" s="305">
        <f t="shared" ca="1" si="0"/>
        <v>19576582.606269807</v>
      </c>
      <c r="J14" s="305">
        <f ca="1">'FE-D1'!K14</f>
        <v>1260840.5740000003</v>
      </c>
      <c r="K14" s="305">
        <f t="shared" ca="1" si="1"/>
        <v>20837423.180269808</v>
      </c>
      <c r="L14" s="56"/>
    </row>
    <row r="15" spans="2:19">
      <c r="B15" s="21">
        <v>-2</v>
      </c>
      <c r="C15" s="22">
        <f>'FE-T1'!$BE$1+B15</f>
        <v>2022</v>
      </c>
      <c r="D15" s="305">
        <f ca="1">'FE-D1'!D15</f>
        <v>7594500.4831683934</v>
      </c>
      <c r="E15" s="305">
        <f ca="1">'FE-D1'!E15</f>
        <v>6174095.9763200032</v>
      </c>
      <c r="F15" s="305">
        <f ca="1">'FE-D1'!F15</f>
        <v>4703900.216260409</v>
      </c>
      <c r="G15" s="305">
        <f>'FE-D1'!G15</f>
        <v>0</v>
      </c>
      <c r="H15" s="305">
        <f ca="1">'FE-D1'!H15</f>
        <v>1203576.6191050736</v>
      </c>
      <c r="I15" s="305">
        <f t="shared" ca="1" si="0"/>
        <v>19676073.294853877</v>
      </c>
      <c r="J15" s="305">
        <f ca="1">'FE-D1'!K15</f>
        <v>1370327.5286000001</v>
      </c>
      <c r="K15" s="305">
        <f t="shared" ca="1" si="1"/>
        <v>21046400.823453877</v>
      </c>
      <c r="L15" s="56"/>
    </row>
    <row r="16" spans="2:19">
      <c r="B16" s="21">
        <v>-1</v>
      </c>
      <c r="C16" s="22">
        <f>'FE-T1'!$BE$1+B16</f>
        <v>2023</v>
      </c>
      <c r="D16" s="305">
        <f ca="1">'FE-D1'!D16</f>
        <v>7526913.5978738945</v>
      </c>
      <c r="E16" s="305">
        <f ca="1">'FE-D1'!E16</f>
        <v>6211901.2295690728</v>
      </c>
      <c r="F16" s="305">
        <f ca="1">'FE-D1'!F16</f>
        <v>4606756.9604624771</v>
      </c>
      <c r="G16" s="305">
        <f>'FE-D1'!G16</f>
        <v>0</v>
      </c>
      <c r="H16" s="305">
        <f ca="1">'FE-D1'!H16</f>
        <v>1158953.060272512</v>
      </c>
      <c r="I16" s="305">
        <f ca="1">SUM(D16:H16)</f>
        <v>19504524.848177955</v>
      </c>
      <c r="J16" s="305">
        <f ca="1">'FE-D1'!K16</f>
        <v>1122006.0343123733</v>
      </c>
      <c r="K16" s="305">
        <f ca="1">I16+J16</f>
        <v>20626530.882490329</v>
      </c>
      <c r="L16" s="56"/>
    </row>
    <row r="17" spans="2:16">
      <c r="B17" s="21">
        <v>0</v>
      </c>
      <c r="C17" s="22">
        <f>'FE-T1'!$BE$1+B17</f>
        <v>2024</v>
      </c>
      <c r="D17" s="230">
        <f t="shared" ref="D17:D27" ca="1" si="2">SUM(OFFSET(FC_Begin,1+12*($C17-2018),0,12,1))</f>
        <v>7611505.661012575</v>
      </c>
      <c r="E17" s="230">
        <f t="shared" ref="E17:E27" ca="1" si="3">SUM(OFFSET(FC_Begin,1+12*($C17-2018),2,12,1))</f>
        <v>6353944.9667051667</v>
      </c>
      <c r="F17" s="230">
        <f t="shared" ref="F17:F27" ca="1" si="4">SUM(OFFSET(FC_Begin,1+12*($C17-2018),4,12,1))</f>
        <v>4726775.4773452785</v>
      </c>
      <c r="G17" s="230">
        <v>0</v>
      </c>
      <c r="H17" s="230">
        <f t="shared" ref="H17:H27" ca="1" si="5">SUM(OFFSET(FC_Begin,1+12*($C17-2018),6,12,1))+SUM(OFFSET(FC_Begin,1+12*($C17-2018),8,12,1))</f>
        <v>1230477.2375910848</v>
      </c>
      <c r="I17" s="209">
        <f t="shared" ref="I17:I27" ca="1" si="6">SUM(D17:H17)</f>
        <v>19922703.342654105</v>
      </c>
      <c r="J17" s="230">
        <f ca="1">'FE-D1'!K17</f>
        <v>1117149.796619056</v>
      </c>
      <c r="K17" s="210">
        <f ca="1">I17+J17</f>
        <v>21039853.139273163</v>
      </c>
      <c r="L17" s="56"/>
      <c r="O17">
        <f>C17</f>
        <v>2024</v>
      </c>
      <c r="P17" s="190">
        <f ca="1">SUM('FE-D5 (BDSM) &amp; (ADSM)'!O10:O21)-K17</f>
        <v>0</v>
      </c>
    </row>
    <row r="18" spans="2:16">
      <c r="B18" s="21">
        <v>1</v>
      </c>
      <c r="C18" s="22">
        <f>'FE-T1'!$BE$1+B18</f>
        <v>2025</v>
      </c>
      <c r="D18" s="230">
        <f t="shared" ca="1" si="2"/>
        <v>7613450.2426938945</v>
      </c>
      <c r="E18" s="230">
        <f t="shared" ca="1" si="3"/>
        <v>6209817.4846546622</v>
      </c>
      <c r="F18" s="230">
        <f t="shared" ca="1" si="4"/>
        <v>5074521.7968406733</v>
      </c>
      <c r="G18" s="230">
        <v>0</v>
      </c>
      <c r="H18" s="230">
        <f t="shared" ca="1" si="5"/>
        <v>1284936.3268741774</v>
      </c>
      <c r="I18" s="209">
        <f t="shared" ca="1" si="6"/>
        <v>20182725.851063408</v>
      </c>
      <c r="J18" s="230">
        <f ca="1">'FE-D1'!K18</f>
        <v>1131725.8945069211</v>
      </c>
      <c r="K18" s="210">
        <f t="shared" ref="K18:K27" ca="1" si="7">I18+J18</f>
        <v>21314451.745570328</v>
      </c>
      <c r="L18" s="56"/>
      <c r="O18">
        <f>C18</f>
        <v>2025</v>
      </c>
      <c r="P18" s="190">
        <f ca="1">SUM('FE-D5 (BDSM) &amp; (ADSM)'!O25:O36)-K18</f>
        <v>0</v>
      </c>
    </row>
    <row r="19" spans="2:16">
      <c r="B19" s="21">
        <v>2</v>
      </c>
      <c r="C19" s="22">
        <f>'FE-T1'!$BE$1+B19</f>
        <v>2026</v>
      </c>
      <c r="D19" s="230">
        <f t="shared" ca="1" si="2"/>
        <v>7628266.8665238004</v>
      </c>
      <c r="E19" s="230">
        <f t="shared" ca="1" si="3"/>
        <v>6203753.4066767357</v>
      </c>
      <c r="F19" s="230">
        <f t="shared" ca="1" si="4"/>
        <v>5113117.1216210527</v>
      </c>
      <c r="G19" s="230">
        <v>0</v>
      </c>
      <c r="H19" s="230">
        <f t="shared" ca="1" si="5"/>
        <v>1286814.3203496563</v>
      </c>
      <c r="I19" s="209">
        <f t="shared" ca="1" si="6"/>
        <v>20231951.715171244</v>
      </c>
      <c r="J19" s="230">
        <f ca="1">'FE-D1'!K19</f>
        <v>1134461.5643263953</v>
      </c>
      <c r="K19" s="210">
        <f t="shared" ca="1" si="7"/>
        <v>21366413.279497638</v>
      </c>
      <c r="L19" s="56"/>
    </row>
    <row r="20" spans="2:16">
      <c r="B20" s="21">
        <v>3</v>
      </c>
      <c r="C20" s="22">
        <f>'FE-T1'!$BE$1+B20</f>
        <v>2027</v>
      </c>
      <c r="D20" s="230">
        <f t="shared" ca="1" si="2"/>
        <v>7662989.2407016503</v>
      </c>
      <c r="E20" s="230">
        <f t="shared" ca="1" si="3"/>
        <v>6199907.1148954164</v>
      </c>
      <c r="F20" s="230">
        <f t="shared" ca="1" si="4"/>
        <v>5117093.2511489214</v>
      </c>
      <c r="G20" s="230">
        <v>0</v>
      </c>
      <c r="H20" s="230">
        <f t="shared" ca="1" si="5"/>
        <v>1286821.0335132645</v>
      </c>
      <c r="I20" s="209">
        <f t="shared" ca="1" si="6"/>
        <v>20266810.640259251</v>
      </c>
      <c r="J20" s="230">
        <f ca="1">'FE-D1'!K20</f>
        <v>1136397.9792233296</v>
      </c>
      <c r="K20" s="210">
        <f t="shared" ca="1" si="7"/>
        <v>21403208.619482581</v>
      </c>
      <c r="L20" s="56"/>
    </row>
    <row r="21" spans="2:16">
      <c r="B21" s="21">
        <v>4</v>
      </c>
      <c r="C21" s="22">
        <f>'FE-T1'!$BE$1+B21</f>
        <v>2028</v>
      </c>
      <c r="D21" s="230">
        <f t="shared" ca="1" si="2"/>
        <v>7718086.5080253789</v>
      </c>
      <c r="E21" s="230">
        <f t="shared" ca="1" si="3"/>
        <v>6223065.6700452454</v>
      </c>
      <c r="F21" s="230">
        <f t="shared" ca="1" si="4"/>
        <v>5121785.1508530192</v>
      </c>
      <c r="G21" s="230">
        <v>0</v>
      </c>
      <c r="H21" s="230">
        <f t="shared" ca="1" si="5"/>
        <v>1287033.8011835124</v>
      </c>
      <c r="I21" s="209">
        <f t="shared" ca="1" si="6"/>
        <v>20349971.130107157</v>
      </c>
      <c r="J21" s="230">
        <f ca="1">'FE-D1'!K21</f>
        <v>1141017.5215792691</v>
      </c>
      <c r="K21" s="210">
        <f t="shared" ca="1" si="7"/>
        <v>21490988.651686426</v>
      </c>
      <c r="L21" s="56"/>
    </row>
    <row r="22" spans="2:16">
      <c r="B22" s="21">
        <v>5</v>
      </c>
      <c r="C22" s="22">
        <f>'FE-T1'!$BE$1+B22</f>
        <v>2029</v>
      </c>
      <c r="D22" s="230">
        <f t="shared" ca="1" si="2"/>
        <v>7734530.1980333794</v>
      </c>
      <c r="E22" s="230">
        <f t="shared" ca="1" si="3"/>
        <v>6223351.5814615805</v>
      </c>
      <c r="F22" s="230">
        <f t="shared" ca="1" si="4"/>
        <v>5125377.9036035407</v>
      </c>
      <c r="G22" s="230">
        <v>0</v>
      </c>
      <c r="H22" s="230">
        <f t="shared" ca="1" si="5"/>
        <v>1287283.8111462663</v>
      </c>
      <c r="I22" s="209">
        <f t="shared" ca="1" si="6"/>
        <v>20370543.494244769</v>
      </c>
      <c r="J22" s="230">
        <f ca="1">'FE-D1'!K22</f>
        <v>1142160.3107278089</v>
      </c>
      <c r="K22" s="210">
        <f t="shared" ca="1" si="7"/>
        <v>21512703.804972578</v>
      </c>
      <c r="L22" s="56"/>
    </row>
    <row r="23" spans="2:16">
      <c r="B23" s="21">
        <v>6</v>
      </c>
      <c r="C23" s="22">
        <f>'FE-T1'!$BE$1+B23</f>
        <v>2030</v>
      </c>
      <c r="D23" s="230">
        <f t="shared" ca="1" si="2"/>
        <v>7775859.3449800881</v>
      </c>
      <c r="E23" s="230">
        <f t="shared" ca="1" si="3"/>
        <v>6237836.54171809</v>
      </c>
      <c r="F23" s="230">
        <f t="shared" ca="1" si="4"/>
        <v>5129919.1152460435</v>
      </c>
      <c r="G23" s="230">
        <v>0</v>
      </c>
      <c r="H23" s="230">
        <f t="shared" ca="1" si="5"/>
        <v>1287434.220010181</v>
      </c>
      <c r="I23" s="209">
        <f t="shared" ca="1" si="6"/>
        <v>20431049.221954402</v>
      </c>
      <c r="J23" s="230">
        <f ca="1">'FE-D1'!K23</f>
        <v>1145521.3871956109</v>
      </c>
      <c r="K23" s="210">
        <f t="shared" ca="1" si="7"/>
        <v>21576570.609150011</v>
      </c>
      <c r="L23" s="56"/>
    </row>
    <row r="24" spans="2:16">
      <c r="B24" s="21">
        <v>7</v>
      </c>
      <c r="C24" s="22">
        <f>'FE-T1'!$BE$1+B24</f>
        <v>2031</v>
      </c>
      <c r="D24" s="230">
        <f t="shared" ca="1" si="2"/>
        <v>7839535.111974461</v>
      </c>
      <c r="E24" s="230">
        <f t="shared" ca="1" si="3"/>
        <v>6269746.3812629888</v>
      </c>
      <c r="F24" s="230">
        <f t="shared" ca="1" si="4"/>
        <v>5135399.6530341133</v>
      </c>
      <c r="G24" s="230">
        <v>0</v>
      </c>
      <c r="H24" s="230">
        <f t="shared" ca="1" si="5"/>
        <v>1287493.2310274672</v>
      </c>
      <c r="I24" s="209">
        <f t="shared" ca="1" si="6"/>
        <v>20532174.377299033</v>
      </c>
      <c r="J24" s="230">
        <f ca="1">'FE-D1'!K24</f>
        <v>1151138.8616529342</v>
      </c>
      <c r="K24" s="210">
        <f t="shared" ca="1" si="7"/>
        <v>21683313.238951966</v>
      </c>
      <c r="L24" s="56"/>
    </row>
    <row r="25" spans="2:16">
      <c r="B25" s="21">
        <v>8</v>
      </c>
      <c r="C25" s="22">
        <f>'FE-T1'!$BE$1+B25</f>
        <v>2032</v>
      </c>
      <c r="D25" s="230">
        <f t="shared" ca="1" si="2"/>
        <v>7935048.747082795</v>
      </c>
      <c r="E25" s="230">
        <f t="shared" ca="1" si="3"/>
        <v>6332616.7912734104</v>
      </c>
      <c r="F25" s="230">
        <f t="shared" ca="1" si="4"/>
        <v>5142596.6621794105</v>
      </c>
      <c r="G25" s="230">
        <v>0</v>
      </c>
      <c r="H25" s="230">
        <f t="shared" ca="1" si="5"/>
        <v>1287602.4818490648</v>
      </c>
      <c r="I25" s="209">
        <f t="shared" ca="1" si="6"/>
        <v>20697864.682384681</v>
      </c>
      <c r="J25" s="230">
        <f ca="1">'FE-D1'!K25</f>
        <v>1160342.9123510304</v>
      </c>
      <c r="K25" s="210">
        <f t="shared" ca="1" si="7"/>
        <v>21858207.594735712</v>
      </c>
      <c r="L25" s="56"/>
    </row>
    <row r="26" spans="2:16">
      <c r="B26" s="21">
        <v>9</v>
      </c>
      <c r="C26" s="22">
        <f>'FE-T1'!$BE$1+B26</f>
        <v>2033</v>
      </c>
      <c r="D26" s="230">
        <f t="shared" ca="1" si="2"/>
        <v>8017965.4783433517</v>
      </c>
      <c r="E26" s="230">
        <f t="shared" ca="1" si="3"/>
        <v>6379380.6752004549</v>
      </c>
      <c r="F26" s="230">
        <f t="shared" ca="1" si="4"/>
        <v>5150084.6431521112</v>
      </c>
      <c r="G26" s="230">
        <v>0</v>
      </c>
      <c r="H26" s="230">
        <f t="shared" ca="1" si="5"/>
        <v>1287805.0514087281</v>
      </c>
      <c r="I26" s="209">
        <f t="shared" ca="1" si="6"/>
        <v>20835235.848104645</v>
      </c>
      <c r="J26" s="230">
        <f ca="1">'FE-D1'!K26</f>
        <v>1167973.8426766733</v>
      </c>
      <c r="K26" s="210">
        <f t="shared" ca="1" si="7"/>
        <v>22003209.690781318</v>
      </c>
      <c r="L26" s="56"/>
    </row>
    <row r="27" spans="2:16" ht="13.5" thickBot="1">
      <c r="B27" s="61">
        <v>10</v>
      </c>
      <c r="C27" s="62">
        <f>'FE-T1'!$BE$1+B27</f>
        <v>2034</v>
      </c>
      <c r="D27" s="300">
        <f t="shared" ca="1" si="2"/>
        <v>8123737.898530351</v>
      </c>
      <c r="E27" s="300">
        <f t="shared" ca="1" si="3"/>
        <v>6450379.0431132847</v>
      </c>
      <c r="F27" s="300">
        <f t="shared" ca="1" si="4"/>
        <v>5158918.999335967</v>
      </c>
      <c r="G27" s="300">
        <v>0</v>
      </c>
      <c r="H27" s="300">
        <f t="shared" ca="1" si="5"/>
        <v>1288116.991805654</v>
      </c>
      <c r="I27" s="303">
        <f t="shared" ca="1" si="6"/>
        <v>21021152.932785258</v>
      </c>
      <c r="J27" s="300">
        <f ca="1">'FE-D1'!K27</f>
        <v>1178301.4853963726</v>
      </c>
      <c r="K27" s="304">
        <f t="shared" ca="1" si="7"/>
        <v>22199454.418181632</v>
      </c>
      <c r="L27" s="56"/>
    </row>
    <row r="28" spans="2:16">
      <c r="B28" s="6"/>
      <c r="C28" s="6"/>
      <c r="D28" s="6"/>
      <c r="E28" s="6"/>
      <c r="F28" s="6"/>
      <c r="G28" s="6"/>
      <c r="H28" s="6"/>
      <c r="I28" s="6"/>
      <c r="J28" s="57"/>
      <c r="K28" s="6"/>
    </row>
    <row r="29" spans="2:16">
      <c r="B29" s="6" t="s">
        <v>35</v>
      </c>
      <c r="C29" s="6"/>
      <c r="D29" s="6"/>
      <c r="E29" s="6"/>
      <c r="F29" s="6"/>
      <c r="G29" s="6"/>
      <c r="H29" s="6"/>
      <c r="I29" s="6"/>
      <c r="J29" s="6"/>
      <c r="K29" s="6"/>
    </row>
    <row r="30" spans="2:16">
      <c r="B30" s="58" t="s">
        <v>36</v>
      </c>
      <c r="C30" s="6"/>
      <c r="D30" s="6"/>
      <c r="E30" s="6"/>
      <c r="F30" s="6"/>
      <c r="G30" s="6"/>
      <c r="H30" s="6"/>
      <c r="I30" s="6"/>
      <c r="J30" s="6"/>
      <c r="K30" s="6"/>
    </row>
    <row r="31" spans="2:16">
      <c r="B31" s="6" t="s">
        <v>37</v>
      </c>
      <c r="C31" s="6"/>
      <c r="D31" s="6"/>
      <c r="E31" s="6"/>
      <c r="F31" s="6"/>
      <c r="G31" s="6"/>
      <c r="H31" s="6"/>
      <c r="I31" s="6"/>
      <c r="J31" s="6"/>
      <c r="K31" s="6"/>
    </row>
    <row r="32" spans="2:16">
      <c r="B32" s="58" t="s">
        <v>44</v>
      </c>
      <c r="C32" s="6"/>
      <c r="D32" s="6"/>
      <c r="E32" s="6"/>
      <c r="F32" s="6"/>
      <c r="G32" s="6"/>
      <c r="H32" s="6"/>
      <c r="I32" s="6"/>
      <c r="J32" s="6"/>
      <c r="K32" s="6"/>
    </row>
    <row r="34" spans="8:11">
      <c r="H34" s="1"/>
      <c r="K34" s="59"/>
    </row>
    <row r="35" spans="8:11">
      <c r="H35" s="1"/>
    </row>
  </sheetData>
  <mergeCells count="4">
    <mergeCell ref="B4:K4"/>
    <mergeCell ref="B6:K6"/>
    <mergeCell ref="B7:K7"/>
    <mergeCell ref="B8:K8"/>
  </mergeCells>
  <pageMargins left="0.7" right="0.7" top="0.75" bottom="0.75" header="0.3" footer="0.3"/>
  <pageSetup scale="57" orientation="landscape" horizontalDpi="300" verticalDpi="300" r:id="rId1"/>
  <headerFooter>
    <oddHeader xml:space="preserve">&amp;R&amp;"Times New Roman,Bold"PUCO Case No. 24-503-EL-FOR
Source Files
Work Tables
Page &amp;P of &amp;N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Z36"/>
  <sheetViews>
    <sheetView showGridLines="0" view="pageLayout" zoomScaleNormal="100" workbookViewId="0">
      <selection activeCell="H10" sqref="H10:K10"/>
    </sheetView>
  </sheetViews>
  <sheetFormatPr defaultRowHeight="12.75"/>
  <cols>
    <col min="1" max="1" width="9.140625" style="90"/>
    <col min="2" max="2" width="5.5703125" style="90" customWidth="1"/>
    <col min="3" max="4" width="12.5703125" style="90" customWidth="1"/>
    <col min="5" max="5" width="14.85546875" style="90" customWidth="1"/>
    <col min="6" max="6" width="13.28515625" style="90" customWidth="1"/>
    <col min="7" max="7" width="12.42578125" style="90" customWidth="1"/>
    <col min="8" max="9" width="9.140625" style="90"/>
    <col min="10" max="10" width="11.7109375" style="90" customWidth="1"/>
    <col min="11" max="11" width="10.85546875" style="90" customWidth="1"/>
  </cols>
  <sheetData>
    <row r="3" spans="1:26">
      <c r="D3" s="91"/>
      <c r="E3" s="91"/>
      <c r="F3" s="91"/>
    </row>
    <row r="4" spans="1:26">
      <c r="D4" s="91"/>
      <c r="E4" s="91"/>
      <c r="F4" s="91"/>
    </row>
    <row r="5" spans="1:26">
      <c r="B5" s="352" t="s">
        <v>148</v>
      </c>
      <c r="C5" s="352"/>
      <c r="D5" s="352"/>
      <c r="E5" s="352"/>
      <c r="F5" s="352"/>
      <c r="G5" s="352"/>
      <c r="H5" s="352"/>
      <c r="I5" s="352"/>
      <c r="J5" s="352"/>
      <c r="K5" s="352"/>
    </row>
    <row r="6" spans="1:26">
      <c r="B6" s="92"/>
      <c r="C6" s="92"/>
      <c r="D6" s="93"/>
      <c r="E6" s="93"/>
      <c r="F6" s="93"/>
      <c r="G6" s="92"/>
      <c r="H6" s="92"/>
      <c r="I6" s="92"/>
      <c r="J6" s="92"/>
      <c r="K6" s="92"/>
    </row>
    <row r="7" spans="1:26">
      <c r="B7" s="354" t="s">
        <v>56</v>
      </c>
      <c r="C7" s="354"/>
      <c r="D7" s="354"/>
      <c r="E7" s="354"/>
      <c r="F7" s="354"/>
      <c r="G7" s="354"/>
      <c r="H7" s="354"/>
      <c r="I7" s="354"/>
      <c r="J7" s="354"/>
      <c r="K7" s="354"/>
    </row>
    <row r="8" spans="1:26">
      <c r="A8" s="90">
        <v>1</v>
      </c>
      <c r="B8" s="360" t="s">
        <v>57</v>
      </c>
      <c r="C8" s="360"/>
      <c r="D8" s="360"/>
      <c r="E8" s="360"/>
      <c r="F8" s="360"/>
      <c r="G8" s="360"/>
      <c r="H8" s="360"/>
      <c r="I8" s="360"/>
      <c r="J8" s="360"/>
      <c r="K8" s="360"/>
    </row>
    <row r="9" spans="1:26" ht="13.5" thickBot="1">
      <c r="B9" s="355" t="s">
        <v>46</v>
      </c>
      <c r="C9" s="355"/>
      <c r="D9" s="355"/>
      <c r="E9" s="355"/>
      <c r="F9" s="355"/>
      <c r="G9" s="355"/>
      <c r="H9" s="355"/>
      <c r="I9" s="355"/>
      <c r="J9" s="355"/>
      <c r="K9" s="355"/>
    </row>
    <row r="10" spans="1:26" ht="13.5" thickBot="1">
      <c r="B10" s="361"/>
      <c r="C10" s="362"/>
      <c r="D10" s="363" t="s">
        <v>58</v>
      </c>
      <c r="E10" s="363"/>
      <c r="F10" s="363"/>
      <c r="G10" s="364"/>
      <c r="H10" s="365" t="s">
        <v>55</v>
      </c>
      <c r="I10" s="363"/>
      <c r="J10" s="363"/>
      <c r="K10" s="366"/>
    </row>
    <row r="11" spans="1:26" ht="29.25" customHeight="1">
      <c r="B11" s="94"/>
      <c r="C11" s="95" t="s">
        <v>24</v>
      </c>
      <c r="D11" s="10" t="s">
        <v>59</v>
      </c>
      <c r="E11" s="96" t="s">
        <v>68</v>
      </c>
      <c r="F11" s="88" t="s">
        <v>60</v>
      </c>
      <c r="G11" s="10" t="s">
        <v>61</v>
      </c>
      <c r="H11" s="10" t="s">
        <v>59</v>
      </c>
      <c r="I11" s="96" t="s">
        <v>68</v>
      </c>
      <c r="J11" s="88" t="s">
        <v>60</v>
      </c>
      <c r="K11" s="11" t="s">
        <v>61</v>
      </c>
    </row>
    <row r="12" spans="1:26">
      <c r="B12" s="306">
        <v>-6</v>
      </c>
      <c r="C12" s="207">
        <f>('FE-T1'!$BE$1+B12)</f>
        <v>2018</v>
      </c>
      <c r="D12" s="199">
        <f t="shared" ref="D12:D16" ca="1" si="0">J12</f>
        <v>4091</v>
      </c>
      <c r="E12" s="199">
        <v>0</v>
      </c>
      <c r="F12" s="199">
        <f t="shared" ref="F12:F15" ca="1" si="1">SUM(D12:E12)</f>
        <v>4091</v>
      </c>
      <c r="G12" s="199">
        <f t="shared" ref="G12:G16" ca="1" si="2">K12</f>
        <v>3793</v>
      </c>
      <c r="H12" s="199">
        <f ca="1">OFFSET(DEO_work!AC13,$C$17-2020,0)</f>
        <v>4091</v>
      </c>
      <c r="I12" s="199">
        <f ca="1">OFFSET(DEO_work!AE13,'FE-D3 (BDSM)'!$C$17-2020,0)</f>
        <v>0</v>
      </c>
      <c r="J12" s="199">
        <f ca="1">H12-I12</f>
        <v>4091</v>
      </c>
      <c r="K12" s="200">
        <f ca="1">OFFSET(DEO_work!AF13,$C$17-2020,0)</f>
        <v>3793</v>
      </c>
    </row>
    <row r="13" spans="1:26">
      <c r="B13" s="306">
        <v>-5</v>
      </c>
      <c r="C13" s="207">
        <f>('FE-T1'!$BE$1+B13)</f>
        <v>2019</v>
      </c>
      <c r="D13" s="199">
        <f t="shared" ca="1" si="0"/>
        <v>3932</v>
      </c>
      <c r="E13" s="199">
        <v>0</v>
      </c>
      <c r="F13" s="199">
        <f t="shared" ca="1" si="1"/>
        <v>3932</v>
      </c>
      <c r="G13" s="199">
        <f t="shared" ca="1" si="2"/>
        <v>3169</v>
      </c>
      <c r="H13" s="199">
        <f ca="1">OFFSET(DEO_work!AC14,$C$17-2020,0)</f>
        <v>3976.1626120000001</v>
      </c>
      <c r="I13" s="199">
        <f ca="1">OFFSET(DEO_work!AE14,'FE-D3 (BDSM)'!$C$17-2020,0)</f>
        <v>44.162611999999996</v>
      </c>
      <c r="J13" s="199">
        <f t="shared" ref="J13:J17" ca="1" si="3">H13-I13</f>
        <v>3932</v>
      </c>
      <c r="K13" s="200">
        <f ca="1">OFFSET(DEO_work!AF14,$C$17-2020,0)</f>
        <v>3169</v>
      </c>
    </row>
    <row r="14" spans="1:26" ht="12" customHeight="1">
      <c r="B14" s="306">
        <v>-4</v>
      </c>
      <c r="C14" s="207">
        <f>('FE-T1'!$BE$1+B14)</f>
        <v>2020</v>
      </c>
      <c r="D14" s="199">
        <f t="shared" ca="1" si="0"/>
        <v>3899</v>
      </c>
      <c r="E14" s="199">
        <v>0</v>
      </c>
      <c r="F14" s="199">
        <f t="shared" ca="1" si="1"/>
        <v>3899</v>
      </c>
      <c r="G14" s="199">
        <f t="shared" ca="1" si="2"/>
        <v>3305</v>
      </c>
      <c r="H14" s="199">
        <f ca="1">OFFSET(DEO_work!AC15,$C$17-2020,0)</f>
        <v>3899</v>
      </c>
      <c r="I14" s="199">
        <f ca="1">OFFSET(DEO_work!AE15,'FE-D3 (BDSM)'!$C$17-2020,0)</f>
        <v>0</v>
      </c>
      <c r="J14" s="199">
        <f t="shared" ca="1" si="3"/>
        <v>3899</v>
      </c>
      <c r="K14" s="200">
        <f ca="1">OFFSET(DEO_work!AF15,$C$17-2020,0)</f>
        <v>3305</v>
      </c>
      <c r="L14" s="273">
        <f ca="1">-SUM(DEO_work!AC15:AC20,DEO_work!AE15:AE20,DEO_work!AF15:AF20)+SUM(H12:I17,K12:K17)</f>
        <v>100</v>
      </c>
    </row>
    <row r="15" spans="1:26">
      <c r="B15" s="306">
        <v>-3</v>
      </c>
      <c r="C15" s="207">
        <f>('FE-T1'!$BE$1+B15)</f>
        <v>2021</v>
      </c>
      <c r="D15" s="199">
        <f t="shared" ca="1" si="0"/>
        <v>4198</v>
      </c>
      <c r="E15" s="199">
        <v>0</v>
      </c>
      <c r="F15" s="199">
        <f t="shared" ca="1" si="1"/>
        <v>4198</v>
      </c>
      <c r="G15" s="199">
        <f t="shared" ca="1" si="2"/>
        <v>3420</v>
      </c>
      <c r="H15" s="199">
        <f ca="1">OFFSET(DEO_work!AC16,$C$17-2020,0)</f>
        <v>4198</v>
      </c>
      <c r="I15" s="199">
        <f ca="1">OFFSET(DEO_work!AE16,'FE-D3 (BDSM)'!$C$17-2020,0)</f>
        <v>0</v>
      </c>
      <c r="J15" s="199">
        <f t="shared" ca="1" si="3"/>
        <v>4198</v>
      </c>
      <c r="K15" s="200">
        <f ca="1">OFFSET(DEO_work!AF16,$C$17-2020,0)</f>
        <v>3420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B16" s="306">
        <v>-2</v>
      </c>
      <c r="C16" s="207">
        <f>('FE-T1'!$BE$1+B16)</f>
        <v>2022</v>
      </c>
      <c r="D16" s="199">
        <f t="shared" ca="1" si="0"/>
        <v>4074</v>
      </c>
      <c r="E16" s="199">
        <v>0</v>
      </c>
      <c r="F16" s="199">
        <f ca="1">SUM(D16:E16)</f>
        <v>4074</v>
      </c>
      <c r="G16" s="199">
        <f t="shared" ca="1" si="2"/>
        <v>3794</v>
      </c>
      <c r="H16" s="199">
        <f ca="1">OFFSET(DEO_work!AC17,$C$17-2020,0)</f>
        <v>4074</v>
      </c>
      <c r="I16" s="199">
        <f ca="1">OFFSET(DEO_work!AE17,'FE-D3 (BDSM)'!$C$17-2020,0)</f>
        <v>0</v>
      </c>
      <c r="J16" s="199">
        <f t="shared" ca="1" si="3"/>
        <v>4074</v>
      </c>
      <c r="K16" s="200">
        <f ca="1">OFFSET(DEO_work!AF17,$C$17-2020,0)</f>
        <v>3794</v>
      </c>
      <c r="O16" s="3"/>
      <c r="P16" s="3" t="s">
        <v>142</v>
      </c>
      <c r="Q16" s="3"/>
      <c r="R16" s="3"/>
      <c r="S16" s="3"/>
      <c r="T16" s="3"/>
      <c r="U16" s="3" t="s">
        <v>206</v>
      </c>
      <c r="V16" s="3"/>
      <c r="W16" s="3"/>
      <c r="X16" s="3"/>
      <c r="Y16" s="3"/>
      <c r="Z16" s="3"/>
    </row>
    <row r="17" spans="2:26">
      <c r="B17" s="306">
        <v>-1</v>
      </c>
      <c r="C17" s="207">
        <f>('FE-T1'!$BE$1+B17)</f>
        <v>2023</v>
      </c>
      <c r="D17" s="199">
        <f t="shared" ref="D17:D27" ca="1" si="4">J17</f>
        <v>4031</v>
      </c>
      <c r="E17" s="199">
        <v>0</v>
      </c>
      <c r="F17" s="199">
        <f t="shared" ref="F17:F27" ca="1" si="5">SUM(D17:E17)</f>
        <v>4031</v>
      </c>
      <c r="G17" s="199">
        <f t="shared" ref="G17:G27" ca="1" si="6">K17</f>
        <v>3739</v>
      </c>
      <c r="H17" s="199">
        <f ca="1">OFFSET(DEO_work!AC18,$C$17-2020,0)</f>
        <v>4031</v>
      </c>
      <c r="I17" s="199">
        <f ca="1">OFFSET(DEO_work!AE18,'FE-D3 (BDSM)'!$C$17-2020,0)</f>
        <v>0</v>
      </c>
      <c r="J17" s="199">
        <f t="shared" ca="1" si="3"/>
        <v>4031</v>
      </c>
      <c r="K17" s="200">
        <f ca="1">OFFSET(DEO_work!AF18,$C$17-2020,0)</f>
        <v>3739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>
      <c r="B18" s="21">
        <v>0</v>
      </c>
      <c r="C18" s="22">
        <f>('FE-T1'!$BE$1+B18)</f>
        <v>2024</v>
      </c>
      <c r="D18" s="199">
        <f t="shared" ca="1" si="4"/>
        <v>3997.2000607025307</v>
      </c>
      <c r="E18" s="228">
        <v>0</v>
      </c>
      <c r="F18" s="199">
        <f t="shared" ca="1" si="5"/>
        <v>3997.2000607025307</v>
      </c>
      <c r="G18" s="199">
        <f t="shared" ca="1" si="6"/>
        <v>3482.179251489913</v>
      </c>
      <c r="H18" s="228">
        <f ca="1">MAX(OFFSET(mPeak_Data!$G$10,(C18-2018)*12,0,4))</f>
        <v>3997.2000607025307</v>
      </c>
      <c r="I18" s="228">
        <v>0</v>
      </c>
      <c r="J18" s="199">
        <f t="shared" ref="J18:J27" ca="1" si="7">H18-I18</f>
        <v>3997.2000607025307</v>
      </c>
      <c r="K18" s="229">
        <f ca="1">MAX(OFFSET(mPeak_Data!$G$16,(C18-2018)*12,0,4))</f>
        <v>3482.179251489913</v>
      </c>
      <c r="L18" s="266"/>
      <c r="O18">
        <f>C18</f>
        <v>2024</v>
      </c>
      <c r="P18" s="190">
        <f ca="1">-'FE-T2 (Before DSM)'!E17+D18</f>
        <v>0</v>
      </c>
      <c r="Q18" s="190">
        <f ca="1">G18-'FE-T2 (Before DSM)'!F17</f>
        <v>0</v>
      </c>
      <c r="R18" s="190">
        <f ca="1">H18-'FE-T2 (Before DSM)'!G17</f>
        <v>0</v>
      </c>
      <c r="S18" s="190">
        <f ca="1">K18-'FE-T2 (Before DSM)'!H17</f>
        <v>0</v>
      </c>
      <c r="U18" s="190">
        <f ca="1">D18-'FE-D6 (BDSM) &amp; (ADSM)'!C16</f>
        <v>0</v>
      </c>
      <c r="W18" s="190">
        <f ca="1">H18-'FE-D6 (BDSM) &amp; (ADSM)'!G16</f>
        <v>0</v>
      </c>
    </row>
    <row r="19" spans="2:26">
      <c r="B19" s="21">
        <v>1</v>
      </c>
      <c r="C19" s="22">
        <f>('FE-T1'!$BE$1+B19)</f>
        <v>2025</v>
      </c>
      <c r="D19" s="199">
        <f t="shared" ca="1" si="4"/>
        <v>4003.0604601966047</v>
      </c>
      <c r="E19" s="228">
        <v>0</v>
      </c>
      <c r="F19" s="199">
        <f t="shared" ca="1" si="5"/>
        <v>4003.0604601966047</v>
      </c>
      <c r="G19" s="199">
        <f t="shared" ca="1" si="6"/>
        <v>3483.4468980268912</v>
      </c>
      <c r="H19" s="228">
        <f ca="1">MAX(OFFSET(mPeak_Data!$G$10,(C19-2018)*12,0,4))</f>
        <v>4003.0604601966047</v>
      </c>
      <c r="I19" s="228">
        <v>0</v>
      </c>
      <c r="J19" s="199">
        <f t="shared" ca="1" si="7"/>
        <v>4003.0604601966047</v>
      </c>
      <c r="K19" s="229">
        <f ca="1">MAX(OFFSET(mPeak_Data!$G$16,(C19-2018)*12,0,4))</f>
        <v>3483.4468980268912</v>
      </c>
      <c r="O19">
        <f>C19</f>
        <v>2025</v>
      </c>
      <c r="P19" s="190">
        <f ca="1">-'FE-T2 (Before DSM)'!E18+D19</f>
        <v>0</v>
      </c>
      <c r="Q19" s="190">
        <f ca="1">G19-'FE-T2 (Before DSM)'!F18</f>
        <v>0</v>
      </c>
      <c r="R19" s="190">
        <f ca="1">H19-'FE-T2 (Before DSM)'!G18</f>
        <v>0</v>
      </c>
      <c r="S19" s="190">
        <f ca="1">K19-'FE-T2 (Before DSM)'!H18</f>
        <v>0</v>
      </c>
      <c r="U19" s="190">
        <f ca="1">D19-'FE-D6 (BDSM) &amp; (ADSM)'!C31</f>
        <v>0</v>
      </c>
      <c r="W19" s="190">
        <f ca="1">H19-'FE-D6 (BDSM) &amp; (ADSM)'!G31</f>
        <v>0</v>
      </c>
    </row>
    <row r="20" spans="2:26">
      <c r="B20" s="21">
        <v>2</v>
      </c>
      <c r="C20" s="22">
        <f>('FE-T1'!$BE$1+B20)</f>
        <v>2026</v>
      </c>
      <c r="D20" s="199">
        <f t="shared" ca="1" si="4"/>
        <v>4005.1436654751951</v>
      </c>
      <c r="E20" s="228">
        <v>0</v>
      </c>
      <c r="F20" s="199">
        <f t="shared" ca="1" si="5"/>
        <v>4005.1436654751951</v>
      </c>
      <c r="G20" s="199">
        <f t="shared" ca="1" si="6"/>
        <v>3484.0123677965444</v>
      </c>
      <c r="H20" s="228">
        <f ca="1">MAX(OFFSET(mPeak_Data!$G$10,(C20-2018)*12,0,4))</f>
        <v>4005.1436654751951</v>
      </c>
      <c r="I20" s="228">
        <v>0</v>
      </c>
      <c r="J20" s="199">
        <f t="shared" ca="1" si="7"/>
        <v>4005.1436654751951</v>
      </c>
      <c r="K20" s="229">
        <f ca="1">MAX(OFFSET(mPeak_Data!$G$16,(C20-2018)*12,0,4))</f>
        <v>3484.0123677965444</v>
      </c>
    </row>
    <row r="21" spans="2:26">
      <c r="B21" s="21">
        <v>3</v>
      </c>
      <c r="C21" s="22">
        <f>('FE-T1'!$BE$1+B21)</f>
        <v>2027</v>
      </c>
      <c r="D21" s="199">
        <f t="shared" ca="1" si="4"/>
        <v>4008.3471823475015</v>
      </c>
      <c r="E21" s="228">
        <v>0</v>
      </c>
      <c r="F21" s="199">
        <f t="shared" ca="1" si="5"/>
        <v>4008.3471823475015</v>
      </c>
      <c r="G21" s="199">
        <f t="shared" ca="1" si="6"/>
        <v>3489.3374821864099</v>
      </c>
      <c r="H21" s="228">
        <f ca="1">MAX(OFFSET(mPeak_Data!$G$10,(C21-2018)*12,0,4))</f>
        <v>4008.3471823475015</v>
      </c>
      <c r="I21" s="228">
        <v>0</v>
      </c>
      <c r="J21" s="199">
        <f t="shared" ca="1" si="7"/>
        <v>4008.3471823475015</v>
      </c>
      <c r="K21" s="229">
        <f ca="1">MAX(OFFSET(mPeak_Data!$G$16,(C21-2018)*12,0,4))</f>
        <v>3489.3374821864099</v>
      </c>
    </row>
    <row r="22" spans="2:26">
      <c r="B22" s="21">
        <v>4</v>
      </c>
      <c r="C22" s="22">
        <f>('FE-T1'!$BE$1+B22)</f>
        <v>2028</v>
      </c>
      <c r="D22" s="199">
        <f t="shared" ca="1" si="4"/>
        <v>4013.6000549765986</v>
      </c>
      <c r="E22" s="228">
        <v>0</v>
      </c>
      <c r="F22" s="199">
        <f t="shared" ca="1" si="5"/>
        <v>4013.6000549765986</v>
      </c>
      <c r="G22" s="199">
        <f t="shared" ca="1" si="6"/>
        <v>3527.3986492988129</v>
      </c>
      <c r="H22" s="228">
        <f ca="1">MAX(OFFSET(mPeak_Data!$G$10,(C22-2018)*12,0,4))</f>
        <v>4013.6000549765986</v>
      </c>
      <c r="I22" s="228">
        <v>0</v>
      </c>
      <c r="J22" s="199">
        <f t="shared" ca="1" si="7"/>
        <v>4013.6000549765986</v>
      </c>
      <c r="K22" s="229">
        <f ca="1">MAX(OFFSET(mPeak_Data!$G$16,(C22-2018)*12,0,4))</f>
        <v>3527.3986492988129</v>
      </c>
    </row>
    <row r="23" spans="2:26">
      <c r="B23" s="21">
        <v>5</v>
      </c>
      <c r="C23" s="22">
        <f>('FE-T1'!$BE$1+B23)</f>
        <v>2029</v>
      </c>
      <c r="D23" s="199">
        <f t="shared" ca="1" si="4"/>
        <v>4020.7183796378868</v>
      </c>
      <c r="E23" s="228">
        <v>0</v>
      </c>
      <c r="F23" s="199">
        <f t="shared" ca="1" si="5"/>
        <v>4020.7183796378868</v>
      </c>
      <c r="G23" s="199">
        <f t="shared" ca="1" si="6"/>
        <v>3545.5760138247733</v>
      </c>
      <c r="H23" s="228">
        <f ca="1">MAX(OFFSET(mPeak_Data!$G$10,(C23-2018)*12,0,4))</f>
        <v>4020.7183796378868</v>
      </c>
      <c r="I23" s="228">
        <v>0</v>
      </c>
      <c r="J23" s="199">
        <f t="shared" ca="1" si="7"/>
        <v>4020.7183796378868</v>
      </c>
      <c r="K23" s="229">
        <f ca="1">MAX(OFFSET(mPeak_Data!$G$16,(C23-2018)*12,0,4))</f>
        <v>3545.5760138247733</v>
      </c>
    </row>
    <row r="24" spans="2:26">
      <c r="B24" s="21">
        <v>6</v>
      </c>
      <c r="C24" s="22">
        <f>('FE-T1'!$BE$1+B24)</f>
        <v>2030</v>
      </c>
      <c r="D24" s="199">
        <f t="shared" ca="1" si="4"/>
        <v>4028.0302387399329</v>
      </c>
      <c r="E24" s="228">
        <v>0</v>
      </c>
      <c r="F24" s="199">
        <f t="shared" ca="1" si="5"/>
        <v>4028.0302387399329</v>
      </c>
      <c r="G24" s="199">
        <f t="shared" ca="1" si="6"/>
        <v>3512.9978210670592</v>
      </c>
      <c r="H24" s="228">
        <f ca="1">MAX(OFFSET(mPeak_Data!$G$10,(C24-2018)*12,0,4))</f>
        <v>4028.0302387399329</v>
      </c>
      <c r="I24" s="228">
        <v>0</v>
      </c>
      <c r="J24" s="199">
        <f t="shared" ca="1" si="7"/>
        <v>4028.0302387399329</v>
      </c>
      <c r="K24" s="229">
        <f ca="1">MAX(OFFSET(mPeak_Data!$G$16,(C24-2018)*12,0,4))</f>
        <v>3512.9978210670592</v>
      </c>
    </row>
    <row r="25" spans="2:26">
      <c r="B25" s="21">
        <v>7</v>
      </c>
      <c r="C25" s="22">
        <f>('FE-T1'!$BE$1+B25)</f>
        <v>2031</v>
      </c>
      <c r="D25" s="199">
        <f t="shared" ca="1" si="4"/>
        <v>4042.410635512897</v>
      </c>
      <c r="E25" s="228">
        <v>0</v>
      </c>
      <c r="F25" s="199">
        <f t="shared" ca="1" si="5"/>
        <v>4042.410635512897</v>
      </c>
      <c r="G25" s="199">
        <f t="shared" ca="1" si="6"/>
        <v>3518.1805723913799</v>
      </c>
      <c r="H25" s="228">
        <f ca="1">MAX(OFFSET(mPeak_Data!$G$10,(C25-2018)*12,0,4))</f>
        <v>4042.410635512897</v>
      </c>
      <c r="I25" s="228">
        <v>0</v>
      </c>
      <c r="J25" s="199">
        <f t="shared" ca="1" si="7"/>
        <v>4042.410635512897</v>
      </c>
      <c r="K25" s="229">
        <f ca="1">MAX(OFFSET(mPeak_Data!$G$16,(C25-2018)*12,0,4))</f>
        <v>3518.1805723913799</v>
      </c>
    </row>
    <row r="26" spans="2:26">
      <c r="B26" s="21">
        <v>8</v>
      </c>
      <c r="C26" s="22">
        <f>('FE-T1'!$BE$1+B26)</f>
        <v>2032</v>
      </c>
      <c r="D26" s="199">
        <f t="shared" ca="1" si="4"/>
        <v>4075.772799264751</v>
      </c>
      <c r="E26" s="228">
        <v>0</v>
      </c>
      <c r="F26" s="199">
        <f t="shared" ca="1" si="5"/>
        <v>4075.772799264751</v>
      </c>
      <c r="G26" s="199">
        <f t="shared" ca="1" si="6"/>
        <v>3535.0301810829319</v>
      </c>
      <c r="H26" s="228">
        <f ca="1">MAX(OFFSET(mPeak_Data!$G$10,(C26-2018)*12,0,4))</f>
        <v>4075.772799264751</v>
      </c>
      <c r="I26" s="228">
        <v>0</v>
      </c>
      <c r="J26" s="199">
        <f t="shared" ca="1" si="7"/>
        <v>4075.772799264751</v>
      </c>
      <c r="K26" s="229">
        <f ca="1">MAX(OFFSET(mPeak_Data!$G$16,(C26-2018)*12,0,4))</f>
        <v>3535.0301810829319</v>
      </c>
    </row>
    <row r="27" spans="2:26">
      <c r="B27" s="21">
        <v>9</v>
      </c>
      <c r="C27" s="22">
        <f>('FE-T1'!$BE$1+B27)</f>
        <v>2033</v>
      </c>
      <c r="D27" s="199">
        <f t="shared" ca="1" si="4"/>
        <v>4112.8649506433203</v>
      </c>
      <c r="E27" s="228">
        <v>0</v>
      </c>
      <c r="F27" s="199">
        <f t="shared" ca="1" si="5"/>
        <v>4112.8649506433203</v>
      </c>
      <c r="G27" s="199">
        <f t="shared" ca="1" si="6"/>
        <v>3681.2302566661606</v>
      </c>
      <c r="H27" s="228">
        <f ca="1">MAX(OFFSET(mPeak_Data!$G$10,(C27-2018)*12,0,4))</f>
        <v>4112.8649506433203</v>
      </c>
      <c r="I27" s="228">
        <v>0</v>
      </c>
      <c r="J27" s="199">
        <f t="shared" ca="1" si="7"/>
        <v>4112.8649506433203</v>
      </c>
      <c r="K27" s="229">
        <f ca="1">MAX(OFFSET(mPeak_Data!$G$16,(C27-2018)*12,0,4))</f>
        <v>3681.2302566661606</v>
      </c>
    </row>
    <row r="28" spans="2:26" ht="13.5" thickBot="1">
      <c r="B28" s="61">
        <v>10</v>
      </c>
      <c r="C28" s="62">
        <f>('FE-T1'!$BE$1+B28)</f>
        <v>2034</v>
      </c>
      <c r="D28" s="201">
        <f t="shared" ref="D28" ca="1" si="8">J28</f>
        <v>4139.4452874864492</v>
      </c>
      <c r="E28" s="234">
        <v>0</v>
      </c>
      <c r="F28" s="201">
        <f t="shared" ref="F28" ca="1" si="9">SUM(D28:E28)</f>
        <v>4139.4452874864492</v>
      </c>
      <c r="G28" s="201">
        <f t="shared" ref="G28" ca="1" si="10">K28</f>
        <v>3736.4434426168928</v>
      </c>
      <c r="H28" s="234">
        <f ca="1">MAX(OFFSET(mPeak_Data!$G$10,(C28-2018)*12,0,4))</f>
        <v>4139.4452874864492</v>
      </c>
      <c r="I28" s="234">
        <v>0</v>
      </c>
      <c r="J28" s="201">
        <f t="shared" ref="J28" ca="1" si="11">H28-I28</f>
        <v>4139.4452874864492</v>
      </c>
      <c r="K28" s="274">
        <f ca="1">MAX(OFFSET(mPeak_Data!$G$16,(C28-2018)*12,0,4))</f>
        <v>3736.4434426168928</v>
      </c>
    </row>
    <row r="29" spans="2:26">
      <c r="B29" s="215"/>
      <c r="C29" s="215"/>
      <c r="D29" s="216"/>
      <c r="E29" s="216"/>
      <c r="F29" s="216"/>
      <c r="G29" s="216"/>
      <c r="H29" s="273"/>
      <c r="I29" s="216"/>
      <c r="J29" s="216"/>
      <c r="K29" s="216"/>
    </row>
    <row r="30" spans="2:26">
      <c r="B30" s="92" t="s">
        <v>62</v>
      </c>
      <c r="C30" s="92"/>
      <c r="D30" s="92"/>
      <c r="E30" s="92"/>
      <c r="F30" s="92"/>
      <c r="G30" s="92"/>
      <c r="H30" s="92"/>
      <c r="I30" s="92"/>
      <c r="J30" s="92"/>
      <c r="K30" s="92"/>
    </row>
    <row r="31" spans="2:26">
      <c r="B31" s="92" t="s">
        <v>196</v>
      </c>
      <c r="C31" s="92"/>
      <c r="D31" s="92"/>
      <c r="E31" s="92"/>
      <c r="F31" s="92"/>
      <c r="G31" s="92"/>
      <c r="H31" s="92"/>
      <c r="I31" s="92"/>
      <c r="J31" s="92"/>
      <c r="K31" s="92"/>
    </row>
    <row r="32" spans="2:26">
      <c r="B32" s="92" t="s">
        <v>63</v>
      </c>
      <c r="C32" s="92"/>
      <c r="D32" s="92"/>
      <c r="E32" s="92"/>
      <c r="F32" s="92"/>
      <c r="G32" s="92"/>
      <c r="H32" s="92"/>
      <c r="I32" s="92"/>
      <c r="J32" s="92"/>
      <c r="K32" s="92"/>
    </row>
    <row r="33" spans="2:11">
      <c r="B33" s="92" t="s">
        <v>64</v>
      </c>
      <c r="C33" s="92"/>
      <c r="D33" s="92"/>
      <c r="E33" s="92"/>
      <c r="F33" s="92"/>
      <c r="G33" s="92"/>
      <c r="H33" s="92"/>
      <c r="I33" s="92"/>
      <c r="J33" s="92"/>
      <c r="K33" s="92"/>
    </row>
    <row r="34" spans="2:11">
      <c r="B34" s="99"/>
    </row>
    <row r="35" spans="2:11">
      <c r="B35" s="99"/>
      <c r="D35" s="100"/>
      <c r="E35" s="100"/>
      <c r="F35" s="100"/>
      <c r="G35" s="100"/>
    </row>
    <row r="36" spans="2:11">
      <c r="D36" s="91"/>
      <c r="E36" s="91"/>
      <c r="F36" s="91"/>
    </row>
  </sheetData>
  <mergeCells count="7">
    <mergeCell ref="B5:K5"/>
    <mergeCell ref="B7:K7"/>
    <mergeCell ref="B8:K8"/>
    <mergeCell ref="B9:K9"/>
    <mergeCell ref="B10:C10"/>
    <mergeCell ref="D10:G10"/>
    <mergeCell ref="H10:K10"/>
  </mergeCells>
  <pageMargins left="0.7" right="0.7" top="0.75" bottom="0.75" header="0.3" footer="0.3"/>
  <pageSetup scale="49" orientation="landscape" horizontalDpi="300" verticalDpi="300" r:id="rId1"/>
  <headerFooter>
    <oddHeader xml:space="preserve">&amp;R&amp;"Times New Roman,Bold"PUCO Case No. 24-503-EL-FOR
Source Files
Work Tables
Page &amp;P of &amp;N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3:Y43"/>
  <sheetViews>
    <sheetView showGridLines="0" view="pageLayout" zoomScaleNormal="100" workbookViewId="0">
      <selection activeCell="H10" sqref="H10:K10"/>
    </sheetView>
  </sheetViews>
  <sheetFormatPr defaultRowHeight="12.75"/>
  <cols>
    <col min="2" max="2" width="7.140625" customWidth="1"/>
    <col min="3" max="3" width="13.42578125" customWidth="1"/>
    <col min="4" max="4" width="14.5703125" customWidth="1"/>
    <col min="5" max="6" width="12.5703125" customWidth="1"/>
    <col min="7" max="7" width="9.7109375" customWidth="1"/>
  </cols>
  <sheetData>
    <row r="3" spans="2:25">
      <c r="D3" s="101"/>
      <c r="E3" s="101"/>
      <c r="F3" s="101"/>
    </row>
    <row r="4" spans="2:25">
      <c r="B4" s="3"/>
      <c r="C4" s="3"/>
      <c r="D4" s="2"/>
      <c r="E4" s="2"/>
      <c r="F4" s="2"/>
    </row>
    <row r="5" spans="2:25">
      <c r="B5" s="352" t="s">
        <v>148</v>
      </c>
      <c r="C5" s="353"/>
      <c r="D5" s="353"/>
      <c r="E5" s="353"/>
      <c r="F5" s="353"/>
      <c r="G5" s="353"/>
      <c r="H5" s="353"/>
      <c r="I5" s="353"/>
      <c r="J5" s="353"/>
      <c r="K5" s="353"/>
    </row>
    <row r="6" spans="2:25">
      <c r="B6" s="6"/>
      <c r="C6" s="6"/>
      <c r="D6" s="5"/>
      <c r="E6" s="5"/>
      <c r="F6" s="5"/>
      <c r="G6" s="6"/>
      <c r="H6" s="6"/>
      <c r="I6" s="6"/>
      <c r="J6" s="6"/>
      <c r="K6" s="6"/>
    </row>
    <row r="7" spans="2:25">
      <c r="B7" s="354" t="s">
        <v>65</v>
      </c>
      <c r="C7" s="354"/>
      <c r="D7" s="354"/>
      <c r="E7" s="354"/>
      <c r="F7" s="354"/>
      <c r="G7" s="354"/>
      <c r="H7" s="354"/>
      <c r="I7" s="354"/>
      <c r="J7" s="354"/>
      <c r="K7" s="354"/>
    </row>
    <row r="8" spans="2:25">
      <c r="B8" s="356" t="s">
        <v>57</v>
      </c>
      <c r="C8" s="356"/>
      <c r="D8" s="356"/>
      <c r="E8" s="356"/>
      <c r="F8" s="356"/>
      <c r="G8" s="356"/>
      <c r="H8" s="356"/>
      <c r="I8" s="356"/>
      <c r="J8" s="356"/>
      <c r="K8" s="356"/>
    </row>
    <row r="9" spans="2:25" ht="13.5" thickBot="1">
      <c r="B9" s="350" t="s">
        <v>66</v>
      </c>
      <c r="C9" s="350"/>
      <c r="D9" s="350"/>
      <c r="E9" s="350"/>
      <c r="F9" s="350"/>
      <c r="G9" s="350"/>
      <c r="H9" s="350"/>
      <c r="I9" s="350"/>
      <c r="J9" s="350"/>
      <c r="K9" s="350"/>
    </row>
    <row r="10" spans="2:25" ht="13.5" thickBot="1">
      <c r="B10" s="367"/>
      <c r="C10" s="368"/>
      <c r="D10" s="369" t="s">
        <v>194</v>
      </c>
      <c r="E10" s="370"/>
      <c r="F10" s="370"/>
      <c r="G10" s="368"/>
      <c r="H10" s="370" t="s">
        <v>195</v>
      </c>
      <c r="I10" s="370"/>
      <c r="J10" s="370"/>
      <c r="K10" s="371"/>
    </row>
    <row r="11" spans="2:25" ht="38.25">
      <c r="B11" s="132"/>
      <c r="C11" s="133" t="s">
        <v>24</v>
      </c>
      <c r="D11" s="128" t="s">
        <v>59</v>
      </c>
      <c r="E11" s="129" t="s">
        <v>68</v>
      </c>
      <c r="F11" s="130" t="s">
        <v>60</v>
      </c>
      <c r="G11" s="128" t="s">
        <v>61</v>
      </c>
      <c r="H11" s="128" t="s">
        <v>59</v>
      </c>
      <c r="I11" s="129" t="s">
        <v>68</v>
      </c>
      <c r="J11" s="130" t="s">
        <v>60</v>
      </c>
      <c r="K11" s="131" t="s">
        <v>61</v>
      </c>
    </row>
    <row r="12" spans="2:25">
      <c r="B12" s="306">
        <v>-6</v>
      </c>
      <c r="C12" s="207">
        <f>'FE-T1'!$BE$1+B12</f>
        <v>2018</v>
      </c>
      <c r="D12" s="199">
        <f ca="1">J12</f>
        <v>4091</v>
      </c>
      <c r="E12" s="199">
        <v>0</v>
      </c>
      <c r="F12" s="199">
        <f t="shared" ref="F12:F16" ca="1" si="0">SUM(D12:E12)</f>
        <v>4091</v>
      </c>
      <c r="G12" s="199">
        <f t="shared" ref="G12:G16" ca="1" si="1">K12</f>
        <v>3793</v>
      </c>
      <c r="H12" s="199">
        <f ca="1">OFFSET(DEO_work!AC13,$C$17-2020,0)</f>
        <v>4091</v>
      </c>
      <c r="I12" s="199">
        <f ca="1">OFFSET(DEO_work!AE13,$C$17-2020,0)</f>
        <v>0</v>
      </c>
      <c r="J12" s="199">
        <f ca="1">H12-I12</f>
        <v>4091</v>
      </c>
      <c r="K12" s="200">
        <f ca="1">OFFSET(DEO_work!AF13,$C$17-2020,0)</f>
        <v>3793</v>
      </c>
    </row>
    <row r="13" spans="2:25">
      <c r="B13" s="306">
        <v>-5</v>
      </c>
      <c r="C13" s="207">
        <f>'FE-T1'!$BE$1+B13</f>
        <v>2019</v>
      </c>
      <c r="D13" s="199">
        <f t="shared" ref="D13:D16" ca="1" si="2">J13</f>
        <v>3932</v>
      </c>
      <c r="E13" s="199">
        <v>0</v>
      </c>
      <c r="F13" s="199">
        <f t="shared" ca="1" si="0"/>
        <v>3932</v>
      </c>
      <c r="G13" s="199">
        <f t="shared" ca="1" si="1"/>
        <v>3169</v>
      </c>
      <c r="H13" s="199">
        <f ca="1">OFFSET(DEO_work!AC14,$C$17-2020,0)</f>
        <v>3976.1626120000001</v>
      </c>
      <c r="I13" s="199">
        <f ca="1">OFFSET(DEO_work!AE14,$C$17-2020,0)</f>
        <v>44.162611999999996</v>
      </c>
      <c r="J13" s="199">
        <f t="shared" ref="J13" ca="1" si="3">H13-I13</f>
        <v>3932</v>
      </c>
      <c r="K13" s="200">
        <f ca="1">OFFSET(DEO_work!AF14,$C$17-2020,0)</f>
        <v>3169</v>
      </c>
    </row>
    <row r="14" spans="2:25">
      <c r="B14" s="306">
        <v>-4</v>
      </c>
      <c r="C14" s="207">
        <f>'FE-T1'!$BE$1+B14</f>
        <v>2020</v>
      </c>
      <c r="D14" s="199">
        <f t="shared" ca="1" si="2"/>
        <v>3899</v>
      </c>
      <c r="E14" s="199">
        <v>0</v>
      </c>
      <c r="F14" s="199">
        <f t="shared" ca="1" si="0"/>
        <v>3899</v>
      </c>
      <c r="G14" s="199">
        <f t="shared" ca="1" si="1"/>
        <v>3305</v>
      </c>
      <c r="H14" s="199">
        <f ca="1">OFFSET(DEO_work!AC15,$C$17-2020,0)</f>
        <v>3899</v>
      </c>
      <c r="I14" s="199">
        <f ca="1">OFFSET(DEO_work!AE15,$C$17-2020,0)</f>
        <v>0</v>
      </c>
      <c r="J14" s="199">
        <f ca="1">H14-I14</f>
        <v>3899</v>
      </c>
      <c r="K14" s="200">
        <f ca="1">OFFSET(DEO_work!AF15,$C$17-2020,0)</f>
        <v>3305</v>
      </c>
      <c r="L14" s="273">
        <f ca="1">-SUM(DEO_work!AC15:AC20,DEO_work!AE15:AE20,DEO_work!AF15:AF20)+SUM(H12:I17,K12:K17)</f>
        <v>100</v>
      </c>
    </row>
    <row r="15" spans="2:25">
      <c r="B15" s="306">
        <v>-3</v>
      </c>
      <c r="C15" s="207">
        <f>'FE-T1'!$BE$1+B15</f>
        <v>2021</v>
      </c>
      <c r="D15" s="199">
        <f t="shared" ca="1" si="2"/>
        <v>4198</v>
      </c>
      <c r="E15" s="199">
        <v>0</v>
      </c>
      <c r="F15" s="199">
        <f t="shared" ca="1" si="0"/>
        <v>4198</v>
      </c>
      <c r="G15" s="199">
        <f t="shared" ca="1" si="1"/>
        <v>3420</v>
      </c>
      <c r="H15" s="199">
        <f ca="1">OFFSET(DEO_work!AC16,$C$17-2020,0)</f>
        <v>4198</v>
      </c>
      <c r="I15" s="307">
        <f ca="1">OFFSET(DEO_work!AE16,$C$17-2020,0)</f>
        <v>0</v>
      </c>
      <c r="J15" s="199">
        <f ca="1">H15-I15</f>
        <v>4198</v>
      </c>
      <c r="K15" s="308">
        <f ca="1">OFFSET(DEO_work!AF16,$C$17-2020,0)</f>
        <v>3420</v>
      </c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2:25">
      <c r="B16" s="306">
        <v>-2</v>
      </c>
      <c r="C16" s="207">
        <f>'FE-T1'!$BE$1+B16</f>
        <v>2022</v>
      </c>
      <c r="D16" s="199">
        <f t="shared" ca="1" si="2"/>
        <v>4074</v>
      </c>
      <c r="E16" s="199">
        <v>0</v>
      </c>
      <c r="F16" s="199">
        <f t="shared" ca="1" si="0"/>
        <v>4074</v>
      </c>
      <c r="G16" s="199">
        <f t="shared" ca="1" si="1"/>
        <v>3794</v>
      </c>
      <c r="H16" s="199">
        <f ca="1">OFFSET(DEO_work!AC17,$C$17-2020,0)</f>
        <v>4074</v>
      </c>
      <c r="I16" s="199">
        <f ca="1">OFFSET(DEO_work!AE17,$C$17-2020,0)</f>
        <v>0</v>
      </c>
      <c r="J16" s="199">
        <f t="shared" ref="J16" ca="1" si="4">H16-I16</f>
        <v>4074</v>
      </c>
      <c r="K16" s="200">
        <f ca="1">OFFSET(DEO_work!AF17,$C$17-2020,0)</f>
        <v>3794</v>
      </c>
      <c r="P16" s="3" t="s">
        <v>143</v>
      </c>
      <c r="Q16" s="3"/>
      <c r="R16" s="3"/>
      <c r="S16" s="3"/>
      <c r="T16" s="3"/>
      <c r="U16" s="3" t="s">
        <v>207</v>
      </c>
      <c r="V16" s="3"/>
      <c r="W16" s="3"/>
      <c r="X16" s="3"/>
      <c r="Y16" s="3"/>
    </row>
    <row r="17" spans="2:25">
      <c r="B17" s="306">
        <v>-1</v>
      </c>
      <c r="C17" s="207">
        <f>'FE-T1'!$BE$1+B17</f>
        <v>2023</v>
      </c>
      <c r="D17" s="199">
        <f t="shared" ref="D17:D27" ca="1" si="5">J17</f>
        <v>4031</v>
      </c>
      <c r="E17" s="199">
        <v>0</v>
      </c>
      <c r="F17" s="199">
        <f t="shared" ref="F17:F27" ca="1" si="6">SUM(D17:E17)</f>
        <v>4031</v>
      </c>
      <c r="G17" s="199">
        <f t="shared" ref="G17:G27" ca="1" si="7">K17</f>
        <v>3739</v>
      </c>
      <c r="H17" s="199">
        <f ca="1">OFFSET(DEO_work!AC18,$C$17-2020,0)</f>
        <v>4031</v>
      </c>
      <c r="I17" s="199">
        <f ca="1">OFFSET(DEO_work!AE18,$C$17-2020,0)</f>
        <v>0</v>
      </c>
      <c r="J17" s="199">
        <f t="shared" ref="J17:J27" ca="1" si="8">H17-I17</f>
        <v>4031</v>
      </c>
      <c r="K17" s="200">
        <f ca="1">OFFSET(DEO_work!AF18,$C$17-2020,0)</f>
        <v>3739</v>
      </c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2:25">
      <c r="B18" s="21">
        <v>0</v>
      </c>
      <c r="C18" s="22">
        <f>'FE-T1'!$BE$1+B18</f>
        <v>2024</v>
      </c>
      <c r="D18" s="199">
        <f t="shared" ca="1" si="5"/>
        <v>3997.2000607025307</v>
      </c>
      <c r="E18" s="228">
        <v>0</v>
      </c>
      <c r="F18" s="199">
        <f t="shared" ca="1" si="6"/>
        <v>3997.2000607025307</v>
      </c>
      <c r="G18" s="199">
        <f t="shared" ca="1" si="7"/>
        <v>3482.179251489913</v>
      </c>
      <c r="H18" s="228">
        <f ca="1">MAX(OFFSET(mPeak_Data!$B$10,(C18-2018)*12,0,4))</f>
        <v>3997.2000607025307</v>
      </c>
      <c r="I18" s="228">
        <f>'FE-D3 (BDSM)'!I18</f>
        <v>0</v>
      </c>
      <c r="J18" s="199">
        <f t="shared" ca="1" si="8"/>
        <v>3997.2000607025307</v>
      </c>
      <c r="K18" s="229">
        <f ca="1">MAX(OFFSET(mPeak_Data!$B$16,(C18-2018)*12,0,4))</f>
        <v>3482.179251489913</v>
      </c>
      <c r="O18">
        <f>C18</f>
        <v>2024</v>
      </c>
      <c r="P18" s="190">
        <f ca="1">D18-'FE-T2 (After DSM)'!E18</f>
        <v>0</v>
      </c>
      <c r="Q18" s="190">
        <f ca="1">G18-'FE-T2 (After DSM)'!F18</f>
        <v>0</v>
      </c>
      <c r="R18" s="190">
        <f ca="1">H18-'FE-T2 (After DSM)'!G18</f>
        <v>0</v>
      </c>
      <c r="S18" s="190">
        <f ca="1">K18-'FE-T2 (After DSM)'!H18</f>
        <v>0</v>
      </c>
      <c r="U18" s="190">
        <f ca="1">D18-'FE-D6 (BDSM) &amp; (ADSM)'!L16</f>
        <v>0</v>
      </c>
      <c r="W18" s="190">
        <f ca="1">H18-'FE-D6 (BDSM) &amp; (ADSM)'!P16</f>
        <v>0</v>
      </c>
    </row>
    <row r="19" spans="2:25">
      <c r="B19" s="21">
        <v>1</v>
      </c>
      <c r="C19" s="22">
        <f>'FE-T1'!$BE$1+B19</f>
        <v>2025</v>
      </c>
      <c r="D19" s="199">
        <f t="shared" ca="1" si="5"/>
        <v>4003.0604601966052</v>
      </c>
      <c r="E19" s="228">
        <v>0</v>
      </c>
      <c r="F19" s="199">
        <f t="shared" ca="1" si="6"/>
        <v>4003.0604601966052</v>
      </c>
      <c r="G19" s="199">
        <f ca="1">K19</f>
        <v>3483.4468980268907</v>
      </c>
      <c r="H19" s="228">
        <f ca="1">MAX(OFFSET(mPeak_Data!$B$10,(C19-2018)*12,0,4))</f>
        <v>4003.0604601966052</v>
      </c>
      <c r="I19" s="228">
        <f>'FE-D3 (BDSM)'!I19</f>
        <v>0</v>
      </c>
      <c r="J19" s="199">
        <f t="shared" ca="1" si="8"/>
        <v>4003.0604601966052</v>
      </c>
      <c r="K19" s="229">
        <f ca="1">MAX(OFFSET(mPeak_Data!$B$16,(C19-2018)*12,0,4))</f>
        <v>3483.4468980268907</v>
      </c>
      <c r="O19">
        <f>C19</f>
        <v>2025</v>
      </c>
      <c r="P19" s="190">
        <f ca="1">D19-'FE-T2 (After DSM)'!E19</f>
        <v>0</v>
      </c>
      <c r="Q19" s="190">
        <f ca="1">G19-'FE-T2 (After DSM)'!F19</f>
        <v>0</v>
      </c>
      <c r="R19" s="190">
        <f ca="1">H19-'FE-T2 (After DSM)'!G19</f>
        <v>0</v>
      </c>
      <c r="S19" s="190">
        <f ca="1">K19-'FE-T2 (After DSM)'!H19</f>
        <v>0</v>
      </c>
      <c r="U19" s="190">
        <f ca="1">D19-'FE-D6 (BDSM) &amp; (ADSM)'!L31</f>
        <v>0</v>
      </c>
      <c r="W19" s="190">
        <f ca="1">H19-'FE-D6 (BDSM) &amp; (ADSM)'!P31</f>
        <v>0</v>
      </c>
    </row>
    <row r="20" spans="2:25">
      <c r="B20" s="21">
        <v>2</v>
      </c>
      <c r="C20" s="22">
        <f>'FE-T1'!$BE$1+B20</f>
        <v>2026</v>
      </c>
      <c r="D20" s="199">
        <f t="shared" ca="1" si="5"/>
        <v>4005.1436654751956</v>
      </c>
      <c r="E20" s="228">
        <v>0</v>
      </c>
      <c r="F20" s="199">
        <f t="shared" ca="1" si="6"/>
        <v>4005.1436654751956</v>
      </c>
      <c r="G20" s="199">
        <f t="shared" ca="1" si="7"/>
        <v>3484.0123677965448</v>
      </c>
      <c r="H20" s="228">
        <f ca="1">MAX(OFFSET(mPeak_Data!$B$10,(C20-2018)*12,0,4))</f>
        <v>4005.1436654751956</v>
      </c>
      <c r="I20" s="228">
        <f>'FE-D3 (BDSM)'!I20</f>
        <v>0</v>
      </c>
      <c r="J20" s="199">
        <f t="shared" ca="1" si="8"/>
        <v>4005.1436654751956</v>
      </c>
      <c r="K20" s="229">
        <f ca="1">MAX(OFFSET(mPeak_Data!$B$16,(C20-2018)*12,0,4))</f>
        <v>3484.0123677965448</v>
      </c>
    </row>
    <row r="21" spans="2:25">
      <c r="B21" s="21">
        <v>3</v>
      </c>
      <c r="C21" s="22">
        <f>'FE-T1'!$BE$1+B21</f>
        <v>2027</v>
      </c>
      <c r="D21" s="199">
        <f t="shared" ca="1" si="5"/>
        <v>4008.3471823475015</v>
      </c>
      <c r="E21" s="228">
        <v>0</v>
      </c>
      <c r="F21" s="199">
        <f t="shared" ca="1" si="6"/>
        <v>4008.3471823475015</v>
      </c>
      <c r="G21" s="199">
        <f t="shared" ca="1" si="7"/>
        <v>3489.3374821864095</v>
      </c>
      <c r="H21" s="228">
        <f ca="1">MAX(OFFSET(mPeak_Data!$B$10,(C21-2018)*12,0,4))</f>
        <v>4008.3471823475015</v>
      </c>
      <c r="I21" s="228">
        <f>'FE-D3 (BDSM)'!I21</f>
        <v>0</v>
      </c>
      <c r="J21" s="199">
        <f t="shared" ca="1" si="8"/>
        <v>4008.3471823475015</v>
      </c>
      <c r="K21" s="229">
        <f ca="1">MAX(OFFSET(mPeak_Data!$B$16,(C21-2018)*12,0,4))</f>
        <v>3489.3374821864095</v>
      </c>
    </row>
    <row r="22" spans="2:25">
      <c r="B22" s="21">
        <v>4</v>
      </c>
      <c r="C22" s="22">
        <f>'FE-T1'!$BE$1+B22</f>
        <v>2028</v>
      </c>
      <c r="D22" s="199">
        <f t="shared" ca="1" si="5"/>
        <v>4013.6000549765981</v>
      </c>
      <c r="E22" s="228">
        <v>0</v>
      </c>
      <c r="F22" s="199">
        <f t="shared" ca="1" si="6"/>
        <v>4013.6000549765981</v>
      </c>
      <c r="G22" s="199">
        <f t="shared" ca="1" si="7"/>
        <v>3527.3986492988129</v>
      </c>
      <c r="H22" s="228">
        <f ca="1">MAX(OFFSET(mPeak_Data!$B$10,(C22-2018)*12,0,4))</f>
        <v>4013.6000549765981</v>
      </c>
      <c r="I22" s="228">
        <f>'FE-D3 (BDSM)'!I22</f>
        <v>0</v>
      </c>
      <c r="J22" s="199">
        <f t="shared" ca="1" si="8"/>
        <v>4013.6000549765981</v>
      </c>
      <c r="K22" s="229">
        <f ca="1">MAX(OFFSET(mPeak_Data!$B$16,(C22-2018)*12,0,4))</f>
        <v>3527.3986492988129</v>
      </c>
    </row>
    <row r="23" spans="2:25">
      <c r="B23" s="21">
        <v>5</v>
      </c>
      <c r="C23" s="22">
        <f>'FE-T1'!$BE$1+B23</f>
        <v>2029</v>
      </c>
      <c r="D23" s="199">
        <f t="shared" ca="1" si="5"/>
        <v>4020.7183796378868</v>
      </c>
      <c r="E23" s="228">
        <v>0</v>
      </c>
      <c r="F23" s="199">
        <f t="shared" ca="1" si="6"/>
        <v>4020.7183796378868</v>
      </c>
      <c r="G23" s="199">
        <f t="shared" ca="1" si="7"/>
        <v>3545.5760138247738</v>
      </c>
      <c r="H23" s="228">
        <f ca="1">MAX(OFFSET(mPeak_Data!$B$10,(C23-2018)*12,0,4))</f>
        <v>4020.7183796378868</v>
      </c>
      <c r="I23" s="228">
        <f>'FE-D3 (BDSM)'!I23</f>
        <v>0</v>
      </c>
      <c r="J23" s="199">
        <f t="shared" ca="1" si="8"/>
        <v>4020.7183796378868</v>
      </c>
      <c r="K23" s="229">
        <f ca="1">MAX(OFFSET(mPeak_Data!$B$16,(C23-2018)*12,0,4))</f>
        <v>3545.5760138247738</v>
      </c>
    </row>
    <row r="24" spans="2:25">
      <c r="B24" s="21">
        <v>6</v>
      </c>
      <c r="C24" s="22">
        <f>'FE-T1'!$BE$1+B24</f>
        <v>2030</v>
      </c>
      <c r="D24" s="199">
        <f t="shared" ca="1" si="5"/>
        <v>4028.0302387399329</v>
      </c>
      <c r="E24" s="228">
        <v>0</v>
      </c>
      <c r="F24" s="199">
        <f t="shared" ca="1" si="6"/>
        <v>4028.0302387399329</v>
      </c>
      <c r="G24" s="199">
        <f t="shared" ca="1" si="7"/>
        <v>3512.9978210670592</v>
      </c>
      <c r="H24" s="228">
        <f ca="1">MAX(OFFSET(mPeak_Data!$B$10,(C24-2018)*12,0,4))</f>
        <v>4028.0302387399329</v>
      </c>
      <c r="I24" s="228">
        <f>'FE-D3 (BDSM)'!I24</f>
        <v>0</v>
      </c>
      <c r="J24" s="199">
        <f t="shared" ca="1" si="8"/>
        <v>4028.0302387399329</v>
      </c>
      <c r="K24" s="229">
        <f ca="1">MAX(OFFSET(mPeak_Data!$B$16,(C24-2018)*12,0,4))</f>
        <v>3512.9978210670592</v>
      </c>
    </row>
    <row r="25" spans="2:25">
      <c r="B25" s="21">
        <v>7</v>
      </c>
      <c r="C25" s="22">
        <f>'FE-T1'!$BE$1+B25</f>
        <v>2031</v>
      </c>
      <c r="D25" s="199">
        <f t="shared" ca="1" si="5"/>
        <v>4042.4106355128965</v>
      </c>
      <c r="E25" s="228">
        <v>0</v>
      </c>
      <c r="F25" s="199">
        <f t="shared" ca="1" si="6"/>
        <v>4042.4106355128965</v>
      </c>
      <c r="G25" s="199">
        <f t="shared" ca="1" si="7"/>
        <v>3518.1805723913799</v>
      </c>
      <c r="H25" s="228">
        <f ca="1">MAX(OFFSET(mPeak_Data!$B$10,(C25-2018)*12,0,4))</f>
        <v>4042.4106355128965</v>
      </c>
      <c r="I25" s="228">
        <f>'FE-D3 (BDSM)'!I25</f>
        <v>0</v>
      </c>
      <c r="J25" s="199">
        <f t="shared" ca="1" si="8"/>
        <v>4042.4106355128965</v>
      </c>
      <c r="K25" s="229">
        <f ca="1">MAX(OFFSET(mPeak_Data!$B$16,(C25-2018)*12,0,4))</f>
        <v>3518.1805723913799</v>
      </c>
    </row>
    <row r="26" spans="2:25">
      <c r="B26" s="21">
        <v>8</v>
      </c>
      <c r="C26" s="22">
        <f>'FE-T1'!$BE$1+B26</f>
        <v>2032</v>
      </c>
      <c r="D26" s="199">
        <f t="shared" ca="1" si="5"/>
        <v>4075.7727992647506</v>
      </c>
      <c r="E26" s="228">
        <v>0</v>
      </c>
      <c r="F26" s="199">
        <f t="shared" ca="1" si="6"/>
        <v>4075.7727992647506</v>
      </c>
      <c r="G26" s="199">
        <f t="shared" ca="1" si="7"/>
        <v>3535.0301810829319</v>
      </c>
      <c r="H26" s="228">
        <f ca="1">MAX(OFFSET(mPeak_Data!$B$10,(C26-2018)*12,0,4))</f>
        <v>4075.7727992647506</v>
      </c>
      <c r="I26" s="228">
        <f>'FE-D3 (BDSM)'!I26</f>
        <v>0</v>
      </c>
      <c r="J26" s="199">
        <f t="shared" ca="1" si="8"/>
        <v>4075.7727992647506</v>
      </c>
      <c r="K26" s="229">
        <f ca="1">MAX(OFFSET(mPeak_Data!$B$16,(C26-2018)*12,0,4))</f>
        <v>3535.0301810829319</v>
      </c>
    </row>
    <row r="27" spans="2:25">
      <c r="B27" s="21">
        <v>9</v>
      </c>
      <c r="C27" s="22">
        <f>'FE-T1'!$BE$1+B27</f>
        <v>2033</v>
      </c>
      <c r="D27" s="199">
        <f t="shared" ca="1" si="5"/>
        <v>4112.8649506433221</v>
      </c>
      <c r="E27" s="228">
        <v>0</v>
      </c>
      <c r="F27" s="199">
        <f t="shared" ca="1" si="6"/>
        <v>4112.8649506433221</v>
      </c>
      <c r="G27" s="199">
        <f t="shared" ca="1" si="7"/>
        <v>3681.2302566661606</v>
      </c>
      <c r="H27" s="228">
        <f ca="1">MAX(OFFSET(mPeak_Data!$B$10,(C27-2018)*12,0,4))</f>
        <v>4112.8649506433221</v>
      </c>
      <c r="I27" s="228">
        <f>'FE-D3 (BDSM)'!I27</f>
        <v>0</v>
      </c>
      <c r="J27" s="199">
        <f t="shared" ca="1" si="8"/>
        <v>4112.8649506433221</v>
      </c>
      <c r="K27" s="229">
        <f ca="1">MAX(OFFSET(mPeak_Data!$B$16,(C27-2018)*12,0,4))</f>
        <v>3681.2302566661606</v>
      </c>
    </row>
    <row r="28" spans="2:25" ht="13.5" thickBot="1">
      <c r="B28" s="61">
        <v>10</v>
      </c>
      <c r="C28" s="62">
        <f>'FE-T1'!$BE$1+B28</f>
        <v>2034</v>
      </c>
      <c r="D28" s="201">
        <f t="shared" ref="D28" ca="1" si="9">J28</f>
        <v>4139.4452874864483</v>
      </c>
      <c r="E28" s="234">
        <v>0</v>
      </c>
      <c r="F28" s="201">
        <f t="shared" ref="F28" ca="1" si="10">SUM(D28:E28)</f>
        <v>4139.4452874864483</v>
      </c>
      <c r="G28" s="201">
        <f t="shared" ref="G28" ca="1" si="11">K28</f>
        <v>3736.4434426168928</v>
      </c>
      <c r="H28" s="234">
        <f ca="1">MAX(OFFSET(mPeak_Data!$B$10,(C28-2018)*12,0,4))</f>
        <v>4139.4452874864483</v>
      </c>
      <c r="I28" s="234">
        <f>'FE-D3 (BDSM)'!I28</f>
        <v>0</v>
      </c>
      <c r="J28" s="201">
        <f t="shared" ref="J28" ca="1" si="12">H28-I28</f>
        <v>4139.4452874864483</v>
      </c>
      <c r="K28" s="274">
        <f ca="1">MAX(OFFSET(mPeak_Data!$B$16,(C28-2018)*12,0,4))</f>
        <v>3736.4434426168928</v>
      </c>
    </row>
    <row r="29" spans="2:25">
      <c r="B29" s="215"/>
      <c r="C29" s="215"/>
      <c r="D29" s="216"/>
      <c r="E29" s="216"/>
      <c r="F29" s="216"/>
      <c r="G29" s="216"/>
      <c r="H29" s="216"/>
      <c r="I29" s="216"/>
      <c r="J29" s="216"/>
      <c r="K29" s="216"/>
    </row>
    <row r="30" spans="2:25">
      <c r="B30" s="6" t="s">
        <v>62</v>
      </c>
      <c r="C30" s="6"/>
      <c r="D30" s="6"/>
      <c r="E30" s="6"/>
      <c r="F30" s="6"/>
      <c r="G30" s="6"/>
      <c r="H30" s="6"/>
      <c r="I30" s="6"/>
      <c r="J30" s="6"/>
      <c r="K30" s="6"/>
    </row>
    <row r="31" spans="2:25">
      <c r="B31" s="6" t="s">
        <v>196</v>
      </c>
      <c r="C31" s="6"/>
      <c r="D31" s="6"/>
      <c r="E31" s="6"/>
      <c r="F31" s="6"/>
      <c r="G31" s="6"/>
      <c r="H31" s="6"/>
      <c r="I31" s="6"/>
      <c r="J31" s="6"/>
      <c r="K31" s="6"/>
    </row>
    <row r="32" spans="2:25">
      <c r="B32" s="6" t="s">
        <v>67</v>
      </c>
      <c r="C32" s="6"/>
      <c r="D32" s="6"/>
      <c r="E32" s="6"/>
      <c r="F32" s="6"/>
      <c r="G32" s="6"/>
      <c r="H32" s="6"/>
      <c r="I32" s="6"/>
      <c r="J32" s="6"/>
      <c r="K32" s="6"/>
    </row>
    <row r="33" spans="2:11">
      <c r="B33" s="3"/>
      <c r="D33" s="3"/>
      <c r="E33" s="3"/>
      <c r="F33" s="3"/>
      <c r="G33" s="3"/>
    </row>
    <row r="34" spans="2:11">
      <c r="B34" s="86"/>
      <c r="D34" s="3"/>
      <c r="E34" s="3"/>
      <c r="F34" s="3"/>
      <c r="G34" s="3"/>
    </row>
    <row r="35" spans="2:11">
      <c r="B35" s="86"/>
      <c r="C35" s="3"/>
      <c r="D35" s="89"/>
      <c r="E35" s="89"/>
      <c r="F35" s="89"/>
      <c r="G35" s="89"/>
      <c r="J35" s="89"/>
    </row>
    <row r="36" spans="2:11">
      <c r="B36" s="86"/>
      <c r="C36" s="3"/>
      <c r="D36" s="3"/>
      <c r="E36" s="3"/>
      <c r="F36" s="3"/>
      <c r="G36" s="3"/>
    </row>
    <row r="37" spans="2:11">
      <c r="B37" s="3"/>
      <c r="C37" s="3"/>
      <c r="D37" s="102"/>
      <c r="E37" s="102"/>
      <c r="F37" s="102"/>
      <c r="G37" s="102"/>
      <c r="H37" s="102"/>
      <c r="I37" s="102"/>
      <c r="J37" s="102"/>
      <c r="K37" s="102"/>
    </row>
    <row r="38" spans="2:11">
      <c r="B38" s="3"/>
      <c r="C38" s="3"/>
      <c r="D38" s="102"/>
      <c r="E38" s="102"/>
      <c r="F38" s="102"/>
      <c r="G38" s="102"/>
      <c r="H38" s="102"/>
      <c r="I38" s="102"/>
      <c r="J38" s="102"/>
      <c r="K38" s="102"/>
    </row>
    <row r="39" spans="2:11">
      <c r="B39" s="86"/>
      <c r="D39" s="102"/>
      <c r="E39" s="102"/>
      <c r="F39" s="102"/>
      <c r="G39" s="102"/>
      <c r="H39" s="102"/>
      <c r="I39" s="102"/>
      <c r="J39" s="102"/>
      <c r="K39" s="102"/>
    </row>
    <row r="40" spans="2:11">
      <c r="B40" s="86"/>
      <c r="C40" s="3"/>
      <c r="D40" s="102"/>
      <c r="E40" s="102"/>
      <c r="F40" s="102"/>
      <c r="G40" s="102"/>
      <c r="H40" s="102"/>
      <c r="I40" s="102"/>
      <c r="J40" s="102"/>
      <c r="K40" s="102"/>
    </row>
    <row r="41" spans="2:11">
      <c r="B41" s="3"/>
      <c r="C41" s="3"/>
      <c r="D41" s="102"/>
      <c r="E41" s="102"/>
      <c r="F41" s="102"/>
      <c r="G41" s="102"/>
      <c r="H41" s="102"/>
      <c r="I41" s="102"/>
      <c r="J41" s="102"/>
      <c r="K41" s="102"/>
    </row>
    <row r="42" spans="2:11">
      <c r="B42" s="3"/>
      <c r="C42" s="3"/>
      <c r="D42" s="102"/>
      <c r="E42" s="102"/>
      <c r="F42" s="102"/>
      <c r="G42" s="102"/>
      <c r="H42" s="102"/>
      <c r="I42" s="102"/>
      <c r="J42" s="102"/>
      <c r="K42" s="102"/>
    </row>
    <row r="43" spans="2:11">
      <c r="B43" s="3"/>
      <c r="C43" s="3"/>
      <c r="D43" s="102"/>
      <c r="E43" s="102"/>
      <c r="F43" s="102"/>
      <c r="G43" s="102"/>
      <c r="H43" s="102"/>
      <c r="I43" s="102"/>
      <c r="J43" s="102"/>
      <c r="K43" s="102"/>
    </row>
  </sheetData>
  <mergeCells count="7">
    <mergeCell ref="B5:K5"/>
    <mergeCell ref="B7:K7"/>
    <mergeCell ref="B8:K8"/>
    <mergeCell ref="B9:K9"/>
    <mergeCell ref="B10:C10"/>
    <mergeCell ref="D10:G10"/>
    <mergeCell ref="H10:K10"/>
  </mergeCells>
  <pageMargins left="0.7" right="0.7" top="0.75" bottom="0.75" header="0.3" footer="0.3"/>
  <pageSetup scale="53" orientation="landscape" horizontalDpi="300" verticalDpi="300" r:id="rId1"/>
  <headerFooter>
    <oddHeader xml:space="preserve">&amp;R&amp;"Times New Roman,Bold"PUCO Case No. 24-503-EL-FOR
Source Files
Work Tables
Page &amp;P of &amp;N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R48"/>
  <sheetViews>
    <sheetView showGridLines="0" view="pageLayout" zoomScaleNormal="100" workbookViewId="0">
      <selection activeCell="J10" sqref="J10"/>
    </sheetView>
  </sheetViews>
  <sheetFormatPr defaultRowHeight="12.75"/>
  <cols>
    <col min="2" max="2" width="13" customWidth="1"/>
    <col min="3" max="3" width="19.85546875" customWidth="1"/>
    <col min="4" max="4" width="20.140625" customWidth="1"/>
    <col min="5" max="5" width="16.7109375" customWidth="1"/>
    <col min="6" max="6" width="23" customWidth="1"/>
    <col min="7" max="7" width="20.28515625" customWidth="1"/>
    <col min="8" max="8" width="9.5703125" style="3" bestFit="1" customWidth="1"/>
    <col min="11" max="11" width="17.42578125" customWidth="1"/>
    <col min="12" max="12" width="20.28515625" customWidth="1"/>
    <col min="13" max="13" width="22.5703125" customWidth="1"/>
    <col min="14" max="14" width="13.28515625" customWidth="1"/>
    <col min="15" max="15" width="20" customWidth="1"/>
    <col min="16" max="16" width="17.42578125" customWidth="1"/>
    <col min="17" max="17" width="16.85546875" bestFit="1" customWidth="1"/>
    <col min="18" max="18" width="9.7109375" bestFit="1" customWidth="1"/>
  </cols>
  <sheetData>
    <row r="1" spans="2:18">
      <c r="B1" s="1"/>
      <c r="C1" s="1"/>
      <c r="D1" s="1"/>
      <c r="E1" s="1"/>
      <c r="F1" s="1"/>
      <c r="K1" s="1"/>
      <c r="L1" s="1"/>
      <c r="M1" s="1"/>
      <c r="N1" s="1"/>
      <c r="O1" s="1"/>
    </row>
    <row r="2" spans="2:18">
      <c r="B2" s="1"/>
      <c r="C2" s="1"/>
      <c r="D2" s="1"/>
      <c r="E2" s="1"/>
      <c r="F2" s="1"/>
      <c r="K2" s="1"/>
      <c r="L2" s="1"/>
      <c r="M2" s="1"/>
      <c r="N2" s="1"/>
      <c r="O2" s="1"/>
    </row>
    <row r="3" spans="2:18">
      <c r="B3" s="352" t="s">
        <v>148</v>
      </c>
      <c r="C3" s="353"/>
      <c r="D3" s="353"/>
      <c r="E3" s="353"/>
      <c r="F3" s="353"/>
      <c r="G3" s="353"/>
      <c r="I3" s="3"/>
      <c r="K3" s="352" t="s">
        <v>148</v>
      </c>
      <c r="L3" s="353"/>
      <c r="M3" s="353"/>
      <c r="N3" s="353"/>
      <c r="O3" s="353"/>
      <c r="P3" s="353"/>
      <c r="Q3" s="3"/>
      <c r="R3" s="3"/>
    </row>
    <row r="4" spans="2:18">
      <c r="B4" s="5"/>
      <c r="C4" s="5"/>
      <c r="D4" s="5"/>
      <c r="E4" s="5"/>
      <c r="F4" s="5"/>
      <c r="G4" s="6"/>
      <c r="I4" s="3"/>
      <c r="K4" s="5"/>
      <c r="L4" s="5"/>
      <c r="M4" s="5"/>
      <c r="N4" s="5"/>
      <c r="O4" s="5"/>
      <c r="P4" s="6"/>
      <c r="Q4" s="3"/>
      <c r="R4" s="3"/>
    </row>
    <row r="5" spans="2:18">
      <c r="B5" s="354" t="s">
        <v>45</v>
      </c>
      <c r="C5" s="354"/>
      <c r="D5" s="354"/>
      <c r="E5" s="354"/>
      <c r="F5" s="354"/>
      <c r="G5" s="354"/>
      <c r="I5" s="3"/>
      <c r="K5" s="354" t="s">
        <v>45</v>
      </c>
      <c r="L5" s="354"/>
      <c r="M5" s="354"/>
      <c r="N5" s="354"/>
      <c r="O5" s="354"/>
      <c r="P5" s="354"/>
      <c r="Q5" s="3"/>
      <c r="R5" s="3"/>
    </row>
    <row r="6" spans="2:18">
      <c r="B6" s="354" t="s">
        <v>46</v>
      </c>
      <c r="C6" s="354"/>
      <c r="D6" s="354"/>
      <c r="E6" s="354"/>
      <c r="F6" s="354"/>
      <c r="G6" s="354"/>
      <c r="I6" s="3"/>
      <c r="K6" s="354" t="s">
        <v>1</v>
      </c>
      <c r="L6" s="354"/>
      <c r="M6" s="354"/>
      <c r="N6" s="354"/>
      <c r="O6" s="354"/>
      <c r="P6" s="354"/>
      <c r="Q6" s="63"/>
      <c r="R6" s="3"/>
    </row>
    <row r="7" spans="2:18" ht="13.5" thickBot="1">
      <c r="B7" s="6"/>
      <c r="C7" s="6"/>
      <c r="D7" s="6"/>
      <c r="E7" s="6"/>
      <c r="F7" s="6"/>
      <c r="G7" s="64"/>
      <c r="I7" s="3"/>
      <c r="K7" s="6"/>
      <c r="L7" s="6"/>
      <c r="M7" s="6"/>
      <c r="N7" s="6"/>
      <c r="O7" s="64"/>
      <c r="P7" s="64"/>
      <c r="Q7" s="63"/>
      <c r="R7" s="3"/>
    </row>
    <row r="8" spans="2:18" ht="23.25" customHeight="1">
      <c r="B8" s="9" t="str">
        <f>CONCATENATE('FE-T1'!$BE$1, " (d)")</f>
        <v>2024 (d)</v>
      </c>
      <c r="C8" s="10"/>
      <c r="D8" s="10"/>
      <c r="E8" s="10"/>
      <c r="F8" s="65" t="s">
        <v>47</v>
      </c>
      <c r="G8" s="127" t="s">
        <v>48</v>
      </c>
      <c r="H8" s="12"/>
      <c r="I8" s="3"/>
      <c r="K8" s="9" t="str">
        <f>CONCATENATE('FE-T1'!$BE$1, " (d)")</f>
        <v>2024 (d)</v>
      </c>
      <c r="L8" s="10"/>
      <c r="M8" s="10"/>
      <c r="N8" s="10"/>
      <c r="O8" s="65" t="s">
        <v>47</v>
      </c>
      <c r="P8" s="66" t="s">
        <v>48</v>
      </c>
      <c r="Q8" s="63"/>
      <c r="R8" s="3"/>
    </row>
    <row r="9" spans="2:18">
      <c r="B9" s="21"/>
      <c r="C9" s="53"/>
      <c r="D9" s="53"/>
      <c r="E9" s="53"/>
      <c r="F9" s="53"/>
      <c r="G9" s="67"/>
      <c r="I9" s="3"/>
      <c r="K9" s="21"/>
      <c r="L9" s="68"/>
      <c r="M9" s="68"/>
      <c r="N9" s="68"/>
      <c r="O9" s="68"/>
      <c r="P9" s="67"/>
      <c r="Q9" s="63"/>
      <c r="R9" s="3"/>
    </row>
    <row r="10" spans="2:18">
      <c r="B10" s="24" t="s">
        <v>5</v>
      </c>
      <c r="C10" s="44"/>
      <c r="D10" s="44"/>
      <c r="E10" s="44"/>
      <c r="F10" s="230">
        <f ca="1">OFFSET(DEO_work!Q$26,('FE-T1'!$BE$1-2019)*12,0)</f>
        <v>1763598.3532841555</v>
      </c>
      <c r="G10" s="211">
        <f ca="1">F10</f>
        <v>1763598.3532841555</v>
      </c>
      <c r="H10" s="77"/>
      <c r="I10" s="78"/>
      <c r="J10" s="79"/>
      <c r="K10" s="24" t="s">
        <v>5</v>
      </c>
      <c r="L10" s="44"/>
      <c r="M10" s="44"/>
      <c r="N10" s="44"/>
      <c r="O10" s="230">
        <f ca="1">OFFSET(DEO_work!N$26,('FE-T1'!$BE$1-2019)*12,0)</f>
        <v>1763598.3532841555</v>
      </c>
      <c r="P10" s="211">
        <f ca="1">O10</f>
        <v>1763598.3532841555</v>
      </c>
      <c r="Q10" s="81">
        <v>0</v>
      </c>
      <c r="R10" s="3"/>
    </row>
    <row r="11" spans="2:18">
      <c r="B11" s="24" t="s">
        <v>6</v>
      </c>
      <c r="C11" s="44"/>
      <c r="D11" s="44"/>
      <c r="E11" s="44"/>
      <c r="F11" s="230">
        <f ca="1">OFFSET(DEO_work!Q$27,('FE-T1'!$BE$1-2019)*12,0)</f>
        <v>1755422.1798722316</v>
      </c>
      <c r="G11" s="211">
        <f t="shared" ref="G11:G21" ca="1" si="0">F11</f>
        <v>1755422.1798722316</v>
      </c>
      <c r="H11" s="77"/>
      <c r="I11" s="78"/>
      <c r="J11" s="79"/>
      <c r="K11" s="24" t="s">
        <v>6</v>
      </c>
      <c r="L11" s="44"/>
      <c r="M11" s="44"/>
      <c r="N11" s="44"/>
      <c r="O11" s="230">
        <f ca="1">OFFSET(DEO_work!N$27,('FE-T1'!$BE$1-2019)*12,0)</f>
        <v>1755422.1798722316</v>
      </c>
      <c r="P11" s="211">
        <f t="shared" ref="P11:P21" ca="1" si="1">O11</f>
        <v>1755422.1798722316</v>
      </c>
      <c r="Q11" s="81">
        <v>0</v>
      </c>
      <c r="R11" s="3"/>
    </row>
    <row r="12" spans="2:18">
      <c r="B12" s="24" t="s">
        <v>7</v>
      </c>
      <c r="C12" s="44"/>
      <c r="D12" s="44"/>
      <c r="E12" s="44"/>
      <c r="F12" s="230">
        <f ca="1">OFFSET(DEO_work!Q$28,('FE-T1'!$BE$1-2019)*12,0)</f>
        <v>1672470.6623753286</v>
      </c>
      <c r="G12" s="211">
        <f t="shared" ca="1" si="0"/>
        <v>1672470.6623753286</v>
      </c>
      <c r="H12" s="77"/>
      <c r="I12" s="78"/>
      <c r="J12" s="79"/>
      <c r="K12" s="24" t="s">
        <v>7</v>
      </c>
      <c r="L12" s="44"/>
      <c r="M12" s="44"/>
      <c r="N12" s="44"/>
      <c r="O12" s="230">
        <f ca="1">OFFSET(DEO_work!N$28,('FE-T1'!$BE$1-2019)*12,0)</f>
        <v>1672470.6623753286</v>
      </c>
      <c r="P12" s="211">
        <f t="shared" ca="1" si="1"/>
        <v>1672470.6623753286</v>
      </c>
      <c r="Q12" s="81">
        <v>0</v>
      </c>
      <c r="R12" s="3"/>
    </row>
    <row r="13" spans="2:18">
      <c r="B13" s="24" t="s">
        <v>8</v>
      </c>
      <c r="C13" s="44"/>
      <c r="D13" s="44"/>
      <c r="E13" s="44"/>
      <c r="F13" s="230">
        <f ca="1">OFFSET(DEO_work!Q$29,('FE-T1'!$BE$1-2019)*12,0)</f>
        <v>1534980.4968939016</v>
      </c>
      <c r="G13" s="211">
        <f t="shared" ca="1" si="0"/>
        <v>1534980.4968939016</v>
      </c>
      <c r="H13" s="77"/>
      <c r="I13" s="78"/>
      <c r="J13" s="79"/>
      <c r="K13" s="24" t="s">
        <v>8</v>
      </c>
      <c r="L13" s="44"/>
      <c r="M13" s="44"/>
      <c r="N13" s="44"/>
      <c r="O13" s="230">
        <f ca="1">OFFSET(DEO_work!N$29,('FE-T1'!$BE$1-2019)*12,0)</f>
        <v>1534980.4968939016</v>
      </c>
      <c r="P13" s="211">
        <f t="shared" ca="1" si="1"/>
        <v>1534980.4968939016</v>
      </c>
      <c r="Q13" s="81">
        <v>0</v>
      </c>
      <c r="R13" s="3"/>
    </row>
    <row r="14" spans="2:18">
      <c r="B14" s="24" t="s">
        <v>9</v>
      </c>
      <c r="C14" s="44"/>
      <c r="D14" s="44"/>
      <c r="E14" s="44"/>
      <c r="F14" s="230">
        <f ca="1">OFFSET(DEO_work!Q$30,('FE-T1'!$BE$1-2019)*12,0)</f>
        <v>1528261.5136674175</v>
      </c>
      <c r="G14" s="211">
        <f t="shared" ca="1" si="0"/>
        <v>1528261.5136674175</v>
      </c>
      <c r="H14" s="77"/>
      <c r="I14" s="78"/>
      <c r="J14" s="79"/>
      <c r="K14" s="24" t="s">
        <v>9</v>
      </c>
      <c r="L14" s="44"/>
      <c r="M14" s="44"/>
      <c r="N14" s="44"/>
      <c r="O14" s="230">
        <f ca="1">OFFSET(DEO_work!N$30,('FE-T1'!$BE$1-2019)*12,0)</f>
        <v>1528261.5136674175</v>
      </c>
      <c r="P14" s="211">
        <f t="shared" ca="1" si="1"/>
        <v>1528261.5136674175</v>
      </c>
      <c r="Q14" s="81">
        <v>0</v>
      </c>
      <c r="R14" s="3"/>
    </row>
    <row r="15" spans="2:18">
      <c r="B15" s="24" t="s">
        <v>10</v>
      </c>
      <c r="C15" s="44"/>
      <c r="D15" s="44"/>
      <c r="E15" s="44"/>
      <c r="F15" s="230">
        <f ca="1">OFFSET(DEO_work!Q$31,('FE-T1'!$BE$1-2019)*12,0)</f>
        <v>1866469.9477861773</v>
      </c>
      <c r="G15" s="211">
        <f t="shared" ca="1" si="0"/>
        <v>1866469.9477861773</v>
      </c>
      <c r="H15" s="77"/>
      <c r="I15" s="78"/>
      <c r="J15" s="79"/>
      <c r="K15" s="24" t="s">
        <v>10</v>
      </c>
      <c r="L15" s="44"/>
      <c r="M15" s="44"/>
      <c r="N15" s="44"/>
      <c r="O15" s="230">
        <f ca="1">OFFSET(DEO_work!N$31,('FE-T1'!$BE$1-2019)*12,0)</f>
        <v>1866469.9477861773</v>
      </c>
      <c r="P15" s="211">
        <f t="shared" ca="1" si="1"/>
        <v>1866469.9477861773</v>
      </c>
      <c r="Q15" s="81">
        <v>0</v>
      </c>
      <c r="R15" s="3"/>
    </row>
    <row r="16" spans="2:18">
      <c r="B16" s="24" t="s">
        <v>11</v>
      </c>
      <c r="C16" s="44"/>
      <c r="D16" s="44"/>
      <c r="E16" s="44"/>
      <c r="F16" s="230">
        <f ca="1">OFFSET(DEO_work!Q$32,('FE-T1'!$BE$1-2019)*12,0)</f>
        <v>2042590.3007078911</v>
      </c>
      <c r="G16" s="211">
        <f t="shared" ca="1" si="0"/>
        <v>2042590.3007078911</v>
      </c>
      <c r="H16" s="77"/>
      <c r="I16" s="78"/>
      <c r="J16" s="79"/>
      <c r="K16" s="24" t="s">
        <v>11</v>
      </c>
      <c r="L16" s="44"/>
      <c r="M16" s="44"/>
      <c r="N16" s="44"/>
      <c r="O16" s="230">
        <f ca="1">OFFSET(DEO_work!N$32,('FE-T1'!$BE$1-2019)*12,0)</f>
        <v>2042590.3007078911</v>
      </c>
      <c r="P16" s="211">
        <f t="shared" ca="1" si="1"/>
        <v>2042590.3007078911</v>
      </c>
      <c r="Q16" s="81">
        <v>0</v>
      </c>
      <c r="R16" s="3"/>
    </row>
    <row r="17" spans="2:18">
      <c r="B17" s="24" t="s">
        <v>12</v>
      </c>
      <c r="C17" s="44"/>
      <c r="D17" s="44"/>
      <c r="E17" s="44"/>
      <c r="F17" s="230">
        <f ca="1">OFFSET(DEO_work!Q$33,('FE-T1'!$BE$1-2019)*12,0)</f>
        <v>2051861.2792010775</v>
      </c>
      <c r="G17" s="211">
        <f t="shared" ca="1" si="0"/>
        <v>2051861.2792010775</v>
      </c>
      <c r="H17" s="77"/>
      <c r="I17" s="78"/>
      <c r="J17" s="79"/>
      <c r="K17" s="24" t="s">
        <v>12</v>
      </c>
      <c r="L17" s="44"/>
      <c r="M17" s="44"/>
      <c r="N17" s="44"/>
      <c r="O17" s="230">
        <f ca="1">OFFSET(DEO_work!N$33,('FE-T1'!$BE$1-2019)*12,0)</f>
        <v>2051861.2792010775</v>
      </c>
      <c r="P17" s="211">
        <f t="shared" ca="1" si="1"/>
        <v>2051861.2792010775</v>
      </c>
      <c r="Q17" s="81">
        <v>0</v>
      </c>
      <c r="R17" s="3"/>
    </row>
    <row r="18" spans="2:18">
      <c r="B18" s="24" t="s">
        <v>13</v>
      </c>
      <c r="C18" s="44"/>
      <c r="D18" s="44"/>
      <c r="E18" s="44"/>
      <c r="F18" s="230">
        <f ca="1">OFFSET(DEO_work!Q$34,('FE-T1'!$BE$1-2019)*12,0)</f>
        <v>1756292.0457759581</v>
      </c>
      <c r="G18" s="211">
        <f t="shared" ca="1" si="0"/>
        <v>1756292.0457759581</v>
      </c>
      <c r="H18" s="77"/>
      <c r="I18" s="78"/>
      <c r="J18" s="79"/>
      <c r="K18" s="24" t="s">
        <v>13</v>
      </c>
      <c r="L18" s="44"/>
      <c r="M18" s="44"/>
      <c r="N18" s="44"/>
      <c r="O18" s="230">
        <f ca="1">OFFSET(DEO_work!N$34,('FE-T1'!$BE$1-2019)*12,0)</f>
        <v>1756292.0457759581</v>
      </c>
      <c r="P18" s="211">
        <f t="shared" ca="1" si="1"/>
        <v>1756292.0457759581</v>
      </c>
      <c r="Q18" s="81">
        <v>0</v>
      </c>
      <c r="R18" s="3"/>
    </row>
    <row r="19" spans="2:18">
      <c r="B19" s="24" t="s">
        <v>14</v>
      </c>
      <c r="C19" s="44"/>
      <c r="D19" s="44"/>
      <c r="E19" s="44"/>
      <c r="F19" s="230">
        <f ca="1">OFFSET(DEO_work!Q$35,('FE-T1'!$BE$1-2019)*12,0)</f>
        <v>1574934.4322736112</v>
      </c>
      <c r="G19" s="211">
        <f t="shared" ca="1" si="0"/>
        <v>1574934.4322736112</v>
      </c>
      <c r="H19" s="77"/>
      <c r="I19" s="78"/>
      <c r="J19" s="79"/>
      <c r="K19" s="24" t="s">
        <v>14</v>
      </c>
      <c r="L19" s="44"/>
      <c r="M19" s="44"/>
      <c r="N19" s="44"/>
      <c r="O19" s="230">
        <f ca="1">OFFSET(DEO_work!N$35,('FE-T1'!$BE$1-2019)*12,0)</f>
        <v>1574934.4322736112</v>
      </c>
      <c r="P19" s="211">
        <f t="shared" ca="1" si="1"/>
        <v>1574934.4322736112</v>
      </c>
      <c r="Q19" s="81">
        <v>0</v>
      </c>
      <c r="R19" s="3"/>
    </row>
    <row r="20" spans="2:18">
      <c r="B20" s="24" t="s">
        <v>15</v>
      </c>
      <c r="C20" s="44"/>
      <c r="D20" s="44"/>
      <c r="E20" s="44"/>
      <c r="F20" s="230">
        <f ca="1">OFFSET(DEO_work!Q$36,('FE-T1'!$BE$1-2019)*12,0)</f>
        <v>1619264.6608637637</v>
      </c>
      <c r="G20" s="211">
        <f t="shared" ca="1" si="0"/>
        <v>1619264.6608637637</v>
      </c>
      <c r="H20" s="77"/>
      <c r="I20" s="78"/>
      <c r="J20" s="79"/>
      <c r="K20" s="24" t="s">
        <v>15</v>
      </c>
      <c r="L20" s="44"/>
      <c r="M20" s="44"/>
      <c r="N20" s="44"/>
      <c r="O20" s="230">
        <f ca="1">OFFSET(DEO_work!N$36,('FE-T1'!$BE$1-2019)*12,0)</f>
        <v>1619264.6608637637</v>
      </c>
      <c r="P20" s="211">
        <f t="shared" ca="1" si="1"/>
        <v>1619264.6608637637</v>
      </c>
      <c r="Q20" s="81">
        <v>0</v>
      </c>
      <c r="R20" s="3"/>
    </row>
    <row r="21" spans="2:18">
      <c r="B21" s="24" t="s">
        <v>16</v>
      </c>
      <c r="C21" s="44"/>
      <c r="D21" s="44"/>
      <c r="E21" s="44"/>
      <c r="F21" s="230">
        <f ca="1">OFFSET(DEO_work!Q$37,('FE-T1'!$BE$1-2019)*12,0)</f>
        <v>1873707.2665716475</v>
      </c>
      <c r="G21" s="211">
        <f t="shared" ca="1" si="0"/>
        <v>1873707.2665716475</v>
      </c>
      <c r="H21" s="77"/>
      <c r="I21" s="78"/>
      <c r="J21" s="79"/>
      <c r="K21" s="24" t="s">
        <v>16</v>
      </c>
      <c r="L21" s="44"/>
      <c r="M21" s="44"/>
      <c r="N21" s="44"/>
      <c r="O21" s="230">
        <f ca="1">OFFSET(DEO_work!N$37,('FE-T1'!$BE$1-2019)*12,0)</f>
        <v>1873707.2665716475</v>
      </c>
      <c r="P21" s="211">
        <f t="shared" ca="1" si="1"/>
        <v>1873707.2665716475</v>
      </c>
      <c r="Q21" s="81">
        <v>0</v>
      </c>
      <c r="R21" s="70"/>
    </row>
    <row r="22" spans="2:18">
      <c r="B22" s="21"/>
      <c r="C22" s="44"/>
      <c r="D22" s="44"/>
      <c r="E22" s="44"/>
      <c r="F22" s="230"/>
      <c r="G22" s="211"/>
      <c r="H22" s="77"/>
      <c r="I22" s="78"/>
      <c r="J22" s="79"/>
      <c r="K22" s="21"/>
      <c r="L22" s="44"/>
      <c r="M22" s="44"/>
      <c r="N22" s="44"/>
      <c r="O22" s="230"/>
      <c r="P22" s="211"/>
      <c r="Q22" s="81">
        <v>0</v>
      </c>
      <c r="R22" s="3"/>
    </row>
    <row r="23" spans="2:18">
      <c r="B23" s="196" t="str">
        <f>CONCATENATE('FE-T1'!$BE$1+1, " (d)")</f>
        <v>2025 (d)</v>
      </c>
      <c r="C23" s="44"/>
      <c r="D23" s="44"/>
      <c r="E23" s="44"/>
      <c r="F23" s="230"/>
      <c r="G23" s="210"/>
      <c r="H23" s="77"/>
      <c r="I23" s="78"/>
      <c r="J23" s="79"/>
      <c r="K23" s="196" t="str">
        <f>CONCATENATE('FE-T1'!$BE$1+1, " (d)")</f>
        <v>2025 (d)</v>
      </c>
      <c r="L23" s="44"/>
      <c r="M23" s="44"/>
      <c r="N23" s="44"/>
      <c r="O23" s="230"/>
      <c r="P23" s="210"/>
      <c r="Q23" s="81">
        <v>0</v>
      </c>
      <c r="R23" s="3"/>
    </row>
    <row r="24" spans="2:18">
      <c r="B24" s="52"/>
      <c r="C24" s="44"/>
      <c r="D24" s="44"/>
      <c r="E24" s="44"/>
      <c r="F24" s="230"/>
      <c r="G24" s="211"/>
      <c r="H24" s="77"/>
      <c r="I24" s="78"/>
      <c r="J24" s="79"/>
      <c r="K24" s="80"/>
      <c r="L24" s="44"/>
      <c r="M24" s="44"/>
      <c r="N24" s="44"/>
      <c r="O24" s="230"/>
      <c r="P24" s="211"/>
      <c r="Q24" s="81">
        <v>0</v>
      </c>
      <c r="R24" s="3"/>
    </row>
    <row r="25" spans="2:18">
      <c r="B25" s="69" t="s">
        <v>5</v>
      </c>
      <c r="C25" s="44"/>
      <c r="D25" s="44"/>
      <c r="E25" s="44"/>
      <c r="F25" s="230">
        <f ca="1">OFFSET(DEO_work!Q$26,('FE-T1'!$BE$1-2019+1)*12,0)</f>
        <v>1890088.1113045283</v>
      </c>
      <c r="G25" s="211">
        <f t="shared" ref="G25:G36" ca="1" si="2">F25</f>
        <v>1890088.1113045283</v>
      </c>
      <c r="H25" s="77"/>
      <c r="I25" s="78"/>
      <c r="J25" s="79"/>
      <c r="K25" s="80" t="s">
        <v>5</v>
      </c>
      <c r="L25" s="44"/>
      <c r="M25" s="44"/>
      <c r="N25" s="44"/>
      <c r="O25" s="230">
        <f ca="1">OFFSET(DEO_work!N$26,('FE-T1'!$BE$1-2019+1)*12,0)</f>
        <v>1890088.1113045283</v>
      </c>
      <c r="P25" s="211">
        <f t="shared" ref="P25:P36" ca="1" si="3">O25</f>
        <v>1890088.1113045283</v>
      </c>
      <c r="Q25" s="81">
        <v>0</v>
      </c>
      <c r="R25" s="3"/>
    </row>
    <row r="26" spans="2:18">
      <c r="B26" s="69" t="s">
        <v>6</v>
      </c>
      <c r="C26" s="44"/>
      <c r="D26" s="44"/>
      <c r="E26" s="44"/>
      <c r="F26" s="230">
        <f ca="1">OFFSET(DEO_work!Q$27,('FE-T1'!$BE$1-2019+1)*12,0)</f>
        <v>1765893.4740687532</v>
      </c>
      <c r="G26" s="211">
        <f t="shared" ca="1" si="2"/>
        <v>1765893.4740687532</v>
      </c>
      <c r="H26" s="77"/>
      <c r="I26" s="78"/>
      <c r="J26" s="79"/>
      <c r="K26" s="80" t="s">
        <v>6</v>
      </c>
      <c r="L26" s="44"/>
      <c r="M26" s="44"/>
      <c r="N26" s="44"/>
      <c r="O26" s="230">
        <f ca="1">OFFSET(DEO_work!N$27,('FE-T1'!$BE$1-2019+1)*12,0)</f>
        <v>1765893.4740687532</v>
      </c>
      <c r="P26" s="211">
        <f t="shared" ca="1" si="3"/>
        <v>1765893.4740687532</v>
      </c>
      <c r="Q26" s="81">
        <v>0</v>
      </c>
      <c r="R26" s="3"/>
    </row>
    <row r="27" spans="2:18">
      <c r="B27" s="69" t="s">
        <v>7</v>
      </c>
      <c r="C27" s="44"/>
      <c r="D27" s="44"/>
      <c r="E27" s="44"/>
      <c r="F27" s="230">
        <f ca="1">OFFSET(DEO_work!Q$28,('FE-T1'!$BE$1-2019+1)*12,0)</f>
        <v>1686406.6559023038</v>
      </c>
      <c r="G27" s="211">
        <f t="shared" ca="1" si="2"/>
        <v>1686406.6559023038</v>
      </c>
      <c r="H27" s="77"/>
      <c r="I27" s="78"/>
      <c r="J27" s="79"/>
      <c r="K27" s="80" t="s">
        <v>7</v>
      </c>
      <c r="L27" s="44"/>
      <c r="M27" s="44"/>
      <c r="N27" s="44"/>
      <c r="O27" s="230">
        <f ca="1">OFFSET(DEO_work!N$28,('FE-T1'!$BE$1-2019+1)*12,0)</f>
        <v>1686406.6559023038</v>
      </c>
      <c r="P27" s="211">
        <f t="shared" ca="1" si="3"/>
        <v>1686406.6559023038</v>
      </c>
      <c r="Q27" s="81">
        <v>0</v>
      </c>
      <c r="R27" s="3"/>
    </row>
    <row r="28" spans="2:18">
      <c r="B28" s="69" t="s">
        <v>8</v>
      </c>
      <c r="C28" s="44"/>
      <c r="D28" s="44"/>
      <c r="E28" s="44"/>
      <c r="F28" s="230">
        <f ca="1">OFFSET(DEO_work!Q$29,('FE-T1'!$BE$1-2019+1)*12,0)</f>
        <v>1548099.5119720518</v>
      </c>
      <c r="G28" s="211">
        <f t="shared" ca="1" si="2"/>
        <v>1548099.5119720518</v>
      </c>
      <c r="H28" s="77"/>
      <c r="I28" s="78"/>
      <c r="J28" s="79"/>
      <c r="K28" s="80" t="s">
        <v>8</v>
      </c>
      <c r="L28" s="44"/>
      <c r="M28" s="44"/>
      <c r="N28" s="44"/>
      <c r="O28" s="230">
        <f ca="1">OFFSET(DEO_work!N$29,('FE-T1'!$BE$1-2019+1)*12,0)</f>
        <v>1548099.5119720518</v>
      </c>
      <c r="P28" s="211">
        <f t="shared" ca="1" si="3"/>
        <v>1548099.5119720518</v>
      </c>
      <c r="Q28" s="81">
        <v>0</v>
      </c>
      <c r="R28" s="3"/>
    </row>
    <row r="29" spans="2:18">
      <c r="B29" s="69" t="s">
        <v>9</v>
      </c>
      <c r="C29" s="44"/>
      <c r="D29" s="44"/>
      <c r="E29" s="44"/>
      <c r="F29" s="230">
        <f ca="1">OFFSET(DEO_work!Q$30,('FE-T1'!$BE$1-2019+1)*12,0)</f>
        <v>1540556.6783979181</v>
      </c>
      <c r="G29" s="211">
        <f t="shared" ca="1" si="2"/>
        <v>1540556.6783979181</v>
      </c>
      <c r="H29" s="77"/>
      <c r="I29" s="78"/>
      <c r="J29" s="79"/>
      <c r="K29" s="80" t="s">
        <v>9</v>
      </c>
      <c r="L29" s="44"/>
      <c r="M29" s="44"/>
      <c r="N29" s="44"/>
      <c r="O29" s="230">
        <f ca="1">OFFSET(DEO_work!N$30,('FE-T1'!$BE$1-2019+1)*12,0)</f>
        <v>1540556.6783979181</v>
      </c>
      <c r="P29" s="211">
        <f t="shared" ca="1" si="3"/>
        <v>1540556.6783979181</v>
      </c>
      <c r="Q29" s="81">
        <v>0</v>
      </c>
      <c r="R29" s="3"/>
    </row>
    <row r="30" spans="2:18">
      <c r="B30" s="69" t="s">
        <v>10</v>
      </c>
      <c r="C30" s="44"/>
      <c r="D30" s="44"/>
      <c r="E30" s="44"/>
      <c r="F30" s="230">
        <f ca="1">OFFSET(DEO_work!Q$31,('FE-T1'!$BE$1-2019+1)*12,0)</f>
        <v>1880801.3709529857</v>
      </c>
      <c r="G30" s="211">
        <f t="shared" ca="1" si="2"/>
        <v>1880801.3709529857</v>
      </c>
      <c r="H30" s="77"/>
      <c r="I30" s="78"/>
      <c r="J30" s="79"/>
      <c r="K30" s="80" t="s">
        <v>10</v>
      </c>
      <c r="L30" s="44"/>
      <c r="M30" s="44"/>
      <c r="N30" s="44"/>
      <c r="O30" s="230">
        <f ca="1">OFFSET(DEO_work!N$31,('FE-T1'!$BE$1-2019+1)*12,0)</f>
        <v>1880801.3709529857</v>
      </c>
      <c r="P30" s="211">
        <f t="shared" ca="1" si="3"/>
        <v>1880801.3709529857</v>
      </c>
      <c r="Q30" s="81">
        <v>0</v>
      </c>
      <c r="R30" s="3"/>
    </row>
    <row r="31" spans="2:18">
      <c r="B31" s="69" t="s">
        <v>11</v>
      </c>
      <c r="C31" s="44"/>
      <c r="D31" s="44"/>
      <c r="E31" s="44"/>
      <c r="F31" s="230">
        <f ca="1">OFFSET(DEO_work!Q$32,('FE-T1'!$BE$1-2019+1)*12,0)</f>
        <v>2056600.330833619</v>
      </c>
      <c r="G31" s="211">
        <f t="shared" ca="1" si="2"/>
        <v>2056600.330833619</v>
      </c>
      <c r="H31" s="77"/>
      <c r="I31" s="78"/>
      <c r="J31" s="79"/>
      <c r="K31" s="80" t="s">
        <v>11</v>
      </c>
      <c r="L31" s="44"/>
      <c r="M31" s="44"/>
      <c r="N31" s="44"/>
      <c r="O31" s="230">
        <f ca="1">OFFSET(DEO_work!N$32,('FE-T1'!$BE$1-2019+1)*12,0)</f>
        <v>2056600.330833619</v>
      </c>
      <c r="P31" s="211">
        <f t="shared" ca="1" si="3"/>
        <v>2056600.330833619</v>
      </c>
      <c r="Q31" s="81">
        <v>0</v>
      </c>
      <c r="R31" s="3"/>
    </row>
    <row r="32" spans="2:18">
      <c r="B32" s="69" t="s">
        <v>12</v>
      </c>
      <c r="C32" s="44"/>
      <c r="D32" s="44"/>
      <c r="E32" s="44"/>
      <c r="F32" s="230">
        <f ca="1">OFFSET(DEO_work!Q$33,('FE-T1'!$BE$1-2019+1)*12,0)</f>
        <v>2067342.4121141832</v>
      </c>
      <c r="G32" s="211">
        <f t="shared" ca="1" si="2"/>
        <v>2067342.4121141832</v>
      </c>
      <c r="H32" s="77"/>
      <c r="I32" s="78"/>
      <c r="J32" s="79"/>
      <c r="K32" s="80" t="s">
        <v>12</v>
      </c>
      <c r="L32" s="44"/>
      <c r="M32" s="44"/>
      <c r="N32" s="44"/>
      <c r="O32" s="230">
        <f ca="1">OFFSET(DEO_work!N$33,('FE-T1'!$BE$1-2019+1)*12,0)</f>
        <v>2067342.4121141832</v>
      </c>
      <c r="P32" s="211">
        <f t="shared" ca="1" si="3"/>
        <v>2067342.4121141832</v>
      </c>
      <c r="Q32" s="81">
        <v>0</v>
      </c>
      <c r="R32" s="3"/>
    </row>
    <row r="33" spans="2:18">
      <c r="B33" s="69" t="s">
        <v>13</v>
      </c>
      <c r="C33" s="44"/>
      <c r="D33" s="44"/>
      <c r="E33" s="44"/>
      <c r="F33" s="230">
        <f ca="1">OFFSET(DEO_work!Q$34,('FE-T1'!$BE$1-2019+1)*12,0)</f>
        <v>1769999.7649866631</v>
      </c>
      <c r="G33" s="211">
        <f t="shared" ca="1" si="2"/>
        <v>1769999.7649866631</v>
      </c>
      <c r="H33" s="77"/>
      <c r="I33" s="78"/>
      <c r="J33" s="79"/>
      <c r="K33" s="80" t="s">
        <v>13</v>
      </c>
      <c r="L33" s="44"/>
      <c r="M33" s="44"/>
      <c r="N33" s="44"/>
      <c r="O33" s="230">
        <f ca="1">OFFSET(DEO_work!N$34,('FE-T1'!$BE$1-2019+1)*12,0)</f>
        <v>1769999.7649866631</v>
      </c>
      <c r="P33" s="211">
        <f t="shared" ca="1" si="3"/>
        <v>1769999.7649866631</v>
      </c>
      <c r="Q33" s="81">
        <v>0</v>
      </c>
      <c r="R33" s="3"/>
    </row>
    <row r="34" spans="2:18">
      <c r="B34" s="69" t="s">
        <v>14</v>
      </c>
      <c r="C34" s="44"/>
      <c r="D34" s="44"/>
      <c r="E34" s="44"/>
      <c r="F34" s="230">
        <f ca="1">OFFSET(DEO_work!Q$35,('FE-T1'!$BE$1-2019+1)*12,0)</f>
        <v>1588566.2240964966</v>
      </c>
      <c r="G34" s="211">
        <f t="shared" ca="1" si="2"/>
        <v>1588566.2240964966</v>
      </c>
      <c r="H34" s="77"/>
      <c r="I34" s="78"/>
      <c r="J34" s="79"/>
      <c r="K34" s="80" t="s">
        <v>14</v>
      </c>
      <c r="L34" s="44"/>
      <c r="M34" s="44"/>
      <c r="N34" s="44"/>
      <c r="O34" s="230">
        <f ca="1">OFFSET(DEO_work!N$35,('FE-T1'!$BE$1-2019+1)*12,0)</f>
        <v>1588566.2240964966</v>
      </c>
      <c r="P34" s="211">
        <f t="shared" ca="1" si="3"/>
        <v>1588566.2240964966</v>
      </c>
      <c r="Q34" s="81">
        <v>0</v>
      </c>
      <c r="R34" s="3"/>
    </row>
    <row r="35" spans="2:18">
      <c r="B35" s="69" t="s">
        <v>15</v>
      </c>
      <c r="C35" s="44"/>
      <c r="D35" s="44"/>
      <c r="E35" s="44"/>
      <c r="F35" s="230">
        <f ca="1">OFFSET(DEO_work!Q$36,('FE-T1'!$BE$1-2019+1)*12,0)</f>
        <v>1632425.6671009723</v>
      </c>
      <c r="G35" s="211">
        <f t="shared" ca="1" si="2"/>
        <v>1632425.6671009723</v>
      </c>
      <c r="H35" s="77"/>
      <c r="I35" s="78"/>
      <c r="J35" s="79"/>
      <c r="K35" s="80" t="s">
        <v>15</v>
      </c>
      <c r="L35" s="44"/>
      <c r="M35" s="44"/>
      <c r="N35" s="44"/>
      <c r="O35" s="230">
        <f ca="1">OFFSET(DEO_work!N$36,('FE-T1'!$BE$1-2019+1)*12,0)</f>
        <v>1632425.6671009723</v>
      </c>
      <c r="P35" s="211">
        <f t="shared" ca="1" si="3"/>
        <v>1632425.6671009723</v>
      </c>
      <c r="Q35" s="81">
        <v>0</v>
      </c>
      <c r="R35" s="3"/>
    </row>
    <row r="36" spans="2:18" ht="13.5" thickBot="1">
      <c r="B36" s="71" t="s">
        <v>16</v>
      </c>
      <c r="C36" s="46"/>
      <c r="D36" s="46"/>
      <c r="E36" s="46"/>
      <c r="F36" s="300">
        <f ca="1">OFFSET(DEO_work!Q$37,('FE-T1'!$BE$1-2019+1)*12,0)</f>
        <v>1887671.5438398507</v>
      </c>
      <c r="G36" s="212">
        <f t="shared" ca="1" si="2"/>
        <v>1887671.5438398507</v>
      </c>
      <c r="H36" s="77"/>
      <c r="I36" s="78"/>
      <c r="J36" s="79"/>
      <c r="K36" s="82" t="s">
        <v>16</v>
      </c>
      <c r="L36" s="46"/>
      <c r="M36" s="46"/>
      <c r="N36" s="46"/>
      <c r="O36" s="300">
        <f ca="1">OFFSET(DEO_work!N$37,('FE-T1'!$BE$1-2019+1)*12,0)</f>
        <v>1887671.5438398507</v>
      </c>
      <c r="P36" s="212">
        <f t="shared" ca="1" si="3"/>
        <v>1887671.5438398507</v>
      </c>
      <c r="Q36" s="81">
        <v>0</v>
      </c>
      <c r="R36" s="70"/>
    </row>
    <row r="37" spans="2:18">
      <c r="B37" s="217"/>
      <c r="C37" s="218"/>
      <c r="D37" s="218"/>
      <c r="E37" s="218"/>
      <c r="F37" s="219"/>
      <c r="G37" s="220"/>
      <c r="H37" s="77"/>
      <c r="I37" s="78"/>
      <c r="J37" s="79"/>
      <c r="K37" s="180"/>
      <c r="L37" s="218"/>
      <c r="M37" s="218"/>
      <c r="N37" s="218"/>
      <c r="O37" s="219"/>
      <c r="P37" s="220"/>
      <c r="Q37" s="81"/>
      <c r="R37" s="70"/>
    </row>
    <row r="38" spans="2:18">
      <c r="B38" s="6" t="s">
        <v>49</v>
      </c>
      <c r="C38" s="6"/>
      <c r="D38" s="6"/>
      <c r="E38" s="6"/>
      <c r="F38" s="6"/>
      <c r="G38" s="72"/>
      <c r="I38" s="3"/>
      <c r="K38" s="6" t="s">
        <v>49</v>
      </c>
      <c r="L38" s="6"/>
      <c r="M38" s="6"/>
      <c r="N38" s="6"/>
      <c r="O38" s="6"/>
      <c r="P38" s="6"/>
      <c r="Q38" s="3"/>
      <c r="R38" s="3"/>
    </row>
    <row r="39" spans="2:18">
      <c r="B39" s="6" t="s">
        <v>50</v>
      </c>
      <c r="C39" s="6"/>
      <c r="D39" s="6"/>
      <c r="E39" s="6"/>
      <c r="F39" s="6"/>
      <c r="G39" s="6"/>
      <c r="I39" s="3"/>
      <c r="K39" s="6" t="s">
        <v>50</v>
      </c>
      <c r="L39" s="6"/>
      <c r="M39" s="6"/>
      <c r="N39" s="6"/>
      <c r="O39" s="6"/>
      <c r="P39" s="6"/>
      <c r="Q39" s="3"/>
      <c r="R39" s="3"/>
    </row>
    <row r="40" spans="2:18">
      <c r="B40" s="6" t="s">
        <v>51</v>
      </c>
      <c r="C40" s="6"/>
      <c r="D40" s="6"/>
      <c r="E40" s="6"/>
      <c r="F40" s="6"/>
      <c r="G40" s="6"/>
      <c r="I40" s="3"/>
      <c r="K40" s="6" t="s">
        <v>51</v>
      </c>
      <c r="L40" s="6"/>
      <c r="M40" s="6"/>
      <c r="N40" s="6"/>
      <c r="O40" s="6"/>
      <c r="P40" s="6"/>
      <c r="Q40" s="3"/>
      <c r="R40" s="3"/>
    </row>
    <row r="41" spans="2:18">
      <c r="B41" s="92" t="s">
        <v>98</v>
      </c>
      <c r="C41" s="6"/>
      <c r="D41" s="6"/>
      <c r="E41" s="6"/>
      <c r="F41" s="6"/>
      <c r="G41" s="6"/>
      <c r="I41" s="3"/>
      <c r="K41" s="92" t="s">
        <v>98</v>
      </c>
      <c r="L41" s="6"/>
      <c r="M41" s="6"/>
      <c r="N41" s="6"/>
      <c r="O41" s="6"/>
      <c r="P41" s="6"/>
      <c r="Q41" s="3"/>
      <c r="R41" s="3"/>
    </row>
    <row r="42" spans="2:18">
      <c r="B42" s="73"/>
      <c r="C42" s="3"/>
      <c r="D42" s="3"/>
      <c r="E42" s="3"/>
      <c r="F42" s="3"/>
      <c r="G42" s="3"/>
      <c r="I42" s="3"/>
      <c r="K42" s="6" t="s">
        <v>52</v>
      </c>
      <c r="L42" s="6"/>
      <c r="M42" s="6"/>
      <c r="N42" s="6"/>
      <c r="O42" s="6"/>
      <c r="P42" s="6"/>
      <c r="Q42" s="3"/>
      <c r="R42" s="3"/>
    </row>
    <row r="43" spans="2:18">
      <c r="B43" s="3"/>
      <c r="C43" s="3"/>
      <c r="D43" s="3"/>
      <c r="E43" s="3"/>
      <c r="F43" s="3"/>
      <c r="G43" s="3"/>
    </row>
    <row r="44" spans="2:18">
      <c r="C44" s="60"/>
      <c r="D44" s="60"/>
      <c r="E44" s="60"/>
      <c r="F44" s="60"/>
      <c r="G44" s="60"/>
      <c r="L44" s="60"/>
      <c r="M44" s="60"/>
      <c r="N44" s="60"/>
      <c r="O44" s="60"/>
      <c r="P44" s="60"/>
    </row>
    <row r="45" spans="2:18">
      <c r="C45" s="60"/>
      <c r="D45" s="60"/>
      <c r="E45" s="60"/>
      <c r="F45" s="60"/>
      <c r="G45" s="60"/>
      <c r="L45" s="60"/>
      <c r="M45" s="60"/>
      <c r="N45" s="60"/>
      <c r="O45" s="60"/>
      <c r="P45" s="60"/>
    </row>
    <row r="46" spans="2:18">
      <c r="L46" s="60"/>
      <c r="M46" s="60"/>
      <c r="N46" s="60"/>
      <c r="O46" s="60"/>
      <c r="P46" s="60"/>
    </row>
    <row r="47" spans="2:18">
      <c r="C47" s="74"/>
      <c r="D47" s="75"/>
      <c r="E47" s="55"/>
      <c r="F47" s="55"/>
      <c r="G47" s="60"/>
      <c r="L47" s="55"/>
      <c r="M47" s="75"/>
      <c r="N47" s="76"/>
      <c r="O47" s="55"/>
    </row>
    <row r="48" spans="2:18">
      <c r="C48" s="74"/>
      <c r="D48" s="75"/>
      <c r="E48" s="55"/>
      <c r="F48" s="55"/>
      <c r="G48" s="60"/>
      <c r="L48" s="55"/>
      <c r="M48" s="75"/>
      <c r="N48" s="76"/>
      <c r="O48" s="55"/>
    </row>
  </sheetData>
  <mergeCells count="6">
    <mergeCell ref="B3:G3"/>
    <mergeCell ref="K3:P3"/>
    <mergeCell ref="B5:G5"/>
    <mergeCell ref="K5:P5"/>
    <mergeCell ref="B6:G6"/>
    <mergeCell ref="K6:P6"/>
  </mergeCells>
  <pageMargins left="0.7" right="0.7" top="0.75" bottom="0.75" header="0.3" footer="0.3"/>
  <pageSetup scale="42" orientation="landscape" horizontalDpi="300" verticalDpi="300" r:id="rId1"/>
  <headerFooter>
    <oddHeader xml:space="preserve">&amp;R&amp;"Times New Roman,Bold"PUCO Case No. 24-503-EL-FOR
Source Files
Work Tables
Page &amp;P of &amp;N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A68"/>
  <sheetViews>
    <sheetView showGridLines="0" view="pageLayout" topLeftCell="F1" zoomScaleNormal="90" workbookViewId="0">
      <selection activeCell="J10" sqref="J10"/>
    </sheetView>
  </sheetViews>
  <sheetFormatPr defaultColWidth="9.140625" defaultRowHeight="12.75"/>
  <cols>
    <col min="1" max="1" width="9.140625" style="90"/>
    <col min="2" max="2" width="11.140625" style="90" customWidth="1"/>
    <col min="3" max="3" width="17.28515625" style="90" customWidth="1"/>
    <col min="4" max="4" width="15.42578125" style="90" bestFit="1" customWidth="1"/>
    <col min="5" max="6" width="16.7109375" style="90" customWidth="1"/>
    <col min="7" max="7" width="18.85546875" style="90" bestFit="1" customWidth="1"/>
    <col min="8" max="8" width="25.85546875" style="90" customWidth="1"/>
    <col min="9" max="10" width="9.28515625" style="90" bestFit="1" customWidth="1"/>
    <col min="11" max="11" width="11.85546875" style="90" customWidth="1"/>
    <col min="12" max="12" width="18.140625" style="90" customWidth="1"/>
    <col min="13" max="13" width="15.42578125" style="90" bestFit="1" customWidth="1"/>
    <col min="14" max="15" width="18" style="90" customWidth="1"/>
    <col min="16" max="16" width="18.85546875" style="90" bestFit="1" customWidth="1"/>
    <col min="17" max="17" width="23.7109375" style="90" customWidth="1"/>
    <col min="18" max="18" width="9.140625" style="109"/>
    <col min="19" max="19" width="10.42578125" style="109" bestFit="1" customWidth="1"/>
    <col min="20" max="20" width="10" style="109" bestFit="1" customWidth="1"/>
    <col min="21" max="21" width="10.42578125" style="109" bestFit="1" customWidth="1"/>
    <col min="22" max="22" width="11.140625" style="109" bestFit="1" customWidth="1"/>
    <col min="23" max="23" width="9.28515625" style="109" bestFit="1" customWidth="1"/>
    <col min="24" max="25" width="9.140625" style="109"/>
    <col min="26" max="16384" width="9.140625" style="90"/>
  </cols>
  <sheetData>
    <row r="1" spans="2:27">
      <c r="B1" s="91"/>
      <c r="C1" s="91"/>
      <c r="E1" s="91"/>
      <c r="F1" s="91"/>
      <c r="G1" s="91"/>
      <c r="K1" s="91"/>
      <c r="L1" s="91"/>
      <c r="N1" s="91"/>
      <c r="O1" s="91"/>
      <c r="P1" s="91"/>
    </row>
    <row r="2" spans="2:27">
      <c r="B2" s="110"/>
      <c r="C2" s="110"/>
      <c r="D2" s="109"/>
      <c r="E2" s="110"/>
      <c r="F2" s="110"/>
      <c r="G2" s="110"/>
      <c r="H2" s="109"/>
      <c r="K2" s="110"/>
      <c r="L2" s="91"/>
      <c r="N2" s="91"/>
      <c r="O2" s="91"/>
      <c r="P2" s="91"/>
    </row>
    <row r="3" spans="2:27">
      <c r="B3" s="352" t="s">
        <v>148</v>
      </c>
      <c r="C3" s="352"/>
      <c r="D3" s="352"/>
      <c r="E3" s="352"/>
      <c r="F3" s="352"/>
      <c r="G3" s="352"/>
      <c r="H3" s="352"/>
      <c r="K3" s="352" t="s">
        <v>148</v>
      </c>
      <c r="L3" s="352"/>
      <c r="M3" s="352"/>
      <c r="N3" s="352"/>
      <c r="O3" s="352"/>
      <c r="P3" s="352"/>
      <c r="Q3" s="352"/>
    </row>
    <row r="4" spans="2:27">
      <c r="B4" s="93"/>
      <c r="C4" s="93"/>
      <c r="D4" s="92"/>
      <c r="E4" s="93"/>
      <c r="F4" s="93"/>
      <c r="G4" s="93"/>
      <c r="H4" s="92"/>
      <c r="K4" s="93"/>
      <c r="L4" s="93"/>
      <c r="M4" s="92"/>
      <c r="N4" s="93"/>
      <c r="O4" s="93"/>
      <c r="P4" s="93"/>
      <c r="Q4" s="92"/>
    </row>
    <row r="5" spans="2:27">
      <c r="B5" s="354" t="s">
        <v>80</v>
      </c>
      <c r="C5" s="354"/>
      <c r="D5" s="354"/>
      <c r="E5" s="354"/>
      <c r="F5" s="354"/>
      <c r="G5" s="354"/>
      <c r="H5" s="354"/>
      <c r="K5" s="354" t="s">
        <v>81</v>
      </c>
      <c r="L5" s="354"/>
      <c r="M5" s="354"/>
      <c r="N5" s="354"/>
      <c r="O5" s="354"/>
      <c r="P5" s="354"/>
      <c r="Q5" s="354"/>
    </row>
    <row r="6" spans="2:27" ht="13.5" thickBot="1">
      <c r="B6" s="355" t="s">
        <v>46</v>
      </c>
      <c r="C6" s="355"/>
      <c r="D6" s="355"/>
      <c r="E6" s="355"/>
      <c r="F6" s="355"/>
      <c r="G6" s="355"/>
      <c r="H6" s="355"/>
      <c r="K6" s="354" t="s">
        <v>1</v>
      </c>
      <c r="L6" s="354"/>
      <c r="M6" s="354"/>
      <c r="N6" s="354"/>
      <c r="O6" s="354"/>
      <c r="P6" s="354"/>
      <c r="Q6" s="354"/>
      <c r="S6" s="90"/>
    </row>
    <row r="7" spans="2:27" ht="13.5" thickBot="1">
      <c r="B7" s="126"/>
      <c r="C7" s="369" t="s">
        <v>58</v>
      </c>
      <c r="D7" s="370"/>
      <c r="E7" s="370"/>
      <c r="F7" s="368"/>
      <c r="G7" s="369" t="s">
        <v>55</v>
      </c>
      <c r="H7" s="371"/>
      <c r="K7" s="126"/>
      <c r="L7" s="369" t="s">
        <v>58</v>
      </c>
      <c r="M7" s="370"/>
      <c r="N7" s="370"/>
      <c r="O7" s="368"/>
      <c r="P7" s="369" t="s">
        <v>55</v>
      </c>
      <c r="Q7" s="371"/>
    </row>
    <row r="8" spans="2:27" ht="30">
      <c r="B8" s="9" t="str">
        <f>CONCATENATE('FE-T1'!$BE$1, " (d)")</f>
        <v>2024 (d)</v>
      </c>
      <c r="C8" s="112" t="s">
        <v>82</v>
      </c>
      <c r="D8" s="112" t="s">
        <v>83</v>
      </c>
      <c r="E8" s="65" t="s">
        <v>84</v>
      </c>
      <c r="F8" s="65" t="s">
        <v>48</v>
      </c>
      <c r="G8" s="112" t="s">
        <v>82</v>
      </c>
      <c r="H8" s="113" t="s">
        <v>48</v>
      </c>
      <c r="I8" s="125"/>
      <c r="J8" s="119"/>
      <c r="K8" s="9" t="str">
        <f>CONCATENATE('FE-T1'!$BE$1, " (d)")</f>
        <v>2024 (d)</v>
      </c>
      <c r="L8" s="112" t="s">
        <v>82</v>
      </c>
      <c r="M8" s="112" t="s">
        <v>83</v>
      </c>
      <c r="N8" s="65" t="s">
        <v>84</v>
      </c>
      <c r="O8" s="65" t="s">
        <v>48</v>
      </c>
      <c r="P8" s="112" t="s">
        <v>82</v>
      </c>
      <c r="Q8" s="113" t="s">
        <v>48</v>
      </c>
      <c r="S8" s="114"/>
    </row>
    <row r="9" spans="2:27">
      <c r="B9" s="21"/>
      <c r="C9" s="22"/>
      <c r="D9" s="22"/>
      <c r="E9" s="22"/>
      <c r="F9" s="22"/>
      <c r="G9" s="22"/>
      <c r="H9" s="23"/>
      <c r="K9" s="21"/>
      <c r="L9" s="22"/>
      <c r="M9" s="22"/>
      <c r="N9" s="22"/>
      <c r="O9" s="22"/>
      <c r="P9" s="97"/>
      <c r="Q9" s="87"/>
      <c r="S9" s="111"/>
      <c r="T9" s="111"/>
      <c r="U9" s="111"/>
      <c r="V9" s="111"/>
    </row>
    <row r="10" spans="2:27">
      <c r="B10" s="24" t="s">
        <v>5</v>
      </c>
      <c r="C10" s="199">
        <f ca="1">G10-D10</f>
        <v>3739</v>
      </c>
      <c r="D10" s="228">
        <v>0</v>
      </c>
      <c r="E10" s="199">
        <f ca="1">C10</f>
        <v>3739</v>
      </c>
      <c r="F10" s="199">
        <f ca="1">E10</f>
        <v>3739</v>
      </c>
      <c r="G10" s="228">
        <f ca="1">OFFSET(mPeak_Data!$G5,('FE-T1'!$BE$1-2018)*12,0)</f>
        <v>3739</v>
      </c>
      <c r="H10" s="200">
        <f ca="1">G10</f>
        <v>3739</v>
      </c>
      <c r="I10" s="98"/>
      <c r="J10" s="98"/>
      <c r="K10" s="24" t="s">
        <v>5</v>
      </c>
      <c r="L10" s="199">
        <f ca="1">P10-M10</f>
        <v>3739</v>
      </c>
      <c r="M10" s="228">
        <f>D10</f>
        <v>0</v>
      </c>
      <c r="N10" s="199">
        <f ca="1">L10</f>
        <v>3739</v>
      </c>
      <c r="O10" s="199">
        <f ca="1">L10</f>
        <v>3739</v>
      </c>
      <c r="P10" s="228">
        <f ca="1">OFFSET(mPeak_Data!$B5,('FE-T1'!$BE$1-2018)*12,0)</f>
        <v>3739</v>
      </c>
      <c r="Q10" s="200">
        <f ca="1">P10</f>
        <v>3739</v>
      </c>
      <c r="S10" s="120"/>
      <c r="T10" s="120"/>
      <c r="U10" s="120"/>
      <c r="V10" s="120"/>
      <c r="W10" s="120"/>
      <c r="X10" s="120"/>
      <c r="Y10" s="120"/>
      <c r="Z10" s="115"/>
      <c r="AA10" s="115"/>
    </row>
    <row r="11" spans="2:27">
      <c r="B11" s="24" t="s">
        <v>6</v>
      </c>
      <c r="C11" s="199">
        <f t="shared" ref="C11:C21" ca="1" si="0">G11-D11</f>
        <v>3477.6193102462821</v>
      </c>
      <c r="D11" s="228">
        <v>0</v>
      </c>
      <c r="E11" s="199">
        <f t="shared" ref="E11:E21" ca="1" si="1">C11</f>
        <v>3477.6193102462821</v>
      </c>
      <c r="F11" s="199">
        <f t="shared" ref="F11:F21" ca="1" si="2">E11</f>
        <v>3477.6193102462821</v>
      </c>
      <c r="G11" s="228">
        <f ca="1">OFFSET(mPeak_Data!$G6,('FE-T1'!$BE$1-2018)*12,0)</f>
        <v>3477.6193102462821</v>
      </c>
      <c r="H11" s="200">
        <f t="shared" ref="H11:H21" ca="1" si="3">G11</f>
        <v>3477.6193102462821</v>
      </c>
      <c r="I11" s="98"/>
      <c r="J11" s="98"/>
      <c r="K11" s="24" t="s">
        <v>6</v>
      </c>
      <c r="L11" s="199">
        <f t="shared" ref="L11:L21" ca="1" si="4">P11-M11</f>
        <v>3477.6193102462821</v>
      </c>
      <c r="M11" s="228">
        <f t="shared" ref="M11:M21" si="5">D11</f>
        <v>0</v>
      </c>
      <c r="N11" s="199">
        <f t="shared" ref="N11:N21" ca="1" si="6">L11</f>
        <v>3477.6193102462821</v>
      </c>
      <c r="O11" s="199">
        <f t="shared" ref="O11:O21" ca="1" si="7">L11</f>
        <v>3477.6193102462821</v>
      </c>
      <c r="P11" s="228">
        <f ca="1">OFFSET(mPeak_Data!$B6,('FE-T1'!$BE$1-2018)*12,0)</f>
        <v>3477.6193102462821</v>
      </c>
      <c r="Q11" s="200">
        <f t="shared" ref="Q11:Q21" ca="1" si="8">P11</f>
        <v>3477.6193102462821</v>
      </c>
      <c r="S11" s="120"/>
      <c r="T11" s="120"/>
      <c r="U11" s="120"/>
      <c r="V11" s="120"/>
      <c r="W11" s="120"/>
      <c r="X11" s="120"/>
      <c r="Y11" s="120"/>
      <c r="Z11" s="115"/>
      <c r="AA11" s="115"/>
    </row>
    <row r="12" spans="2:27">
      <c r="B12" s="24" t="s">
        <v>7</v>
      </c>
      <c r="C12" s="199">
        <f ca="1">G12-D12</f>
        <v>3012.3378203507009</v>
      </c>
      <c r="D12" s="228">
        <v>0</v>
      </c>
      <c r="E12" s="199">
        <f t="shared" ca="1" si="1"/>
        <v>3012.3378203507009</v>
      </c>
      <c r="F12" s="199">
        <f t="shared" ca="1" si="2"/>
        <v>3012.3378203507009</v>
      </c>
      <c r="G12" s="228">
        <f ca="1">OFFSET(mPeak_Data!$G7,('FE-T1'!$BE$1-2018)*12,0)</f>
        <v>3012.3378203507009</v>
      </c>
      <c r="H12" s="200">
        <f t="shared" ca="1" si="3"/>
        <v>3012.3378203507009</v>
      </c>
      <c r="I12" s="98"/>
      <c r="J12" s="98"/>
      <c r="K12" s="24" t="s">
        <v>7</v>
      </c>
      <c r="L12" s="199">
        <f t="shared" ca="1" si="4"/>
        <v>3012.3378203507009</v>
      </c>
      <c r="M12" s="228">
        <f t="shared" si="5"/>
        <v>0</v>
      </c>
      <c r="N12" s="199">
        <f t="shared" ca="1" si="6"/>
        <v>3012.3378203507009</v>
      </c>
      <c r="O12" s="199">
        <f t="shared" ca="1" si="7"/>
        <v>3012.3378203507009</v>
      </c>
      <c r="P12" s="228">
        <f ca="1">OFFSET(mPeak_Data!$B7,('FE-T1'!$BE$1-2018)*12,0)</f>
        <v>3012.3378203507009</v>
      </c>
      <c r="Q12" s="200">
        <f t="shared" ca="1" si="8"/>
        <v>3012.3378203507009</v>
      </c>
      <c r="S12" s="120"/>
      <c r="T12" s="120"/>
      <c r="U12" s="120"/>
      <c r="V12" s="120"/>
      <c r="W12" s="120"/>
      <c r="X12" s="120"/>
      <c r="Y12" s="120"/>
      <c r="Z12" s="115"/>
      <c r="AA12" s="115"/>
    </row>
    <row r="13" spans="2:27">
      <c r="B13" s="24" t="s">
        <v>8</v>
      </c>
      <c r="C13" s="199">
        <f t="shared" ca="1" si="0"/>
        <v>2579.5445977915947</v>
      </c>
      <c r="D13" s="228">
        <v>0</v>
      </c>
      <c r="E13" s="199">
        <f t="shared" ca="1" si="1"/>
        <v>2579.5445977915947</v>
      </c>
      <c r="F13" s="199">
        <f t="shared" ca="1" si="2"/>
        <v>2579.5445977915947</v>
      </c>
      <c r="G13" s="228">
        <f ca="1">OFFSET(mPeak_Data!$G8,('FE-T1'!$BE$1-2018)*12,0)</f>
        <v>2579.5445977915947</v>
      </c>
      <c r="H13" s="200">
        <f t="shared" ca="1" si="3"/>
        <v>2579.5445977915947</v>
      </c>
      <c r="I13" s="98"/>
      <c r="J13" s="98"/>
      <c r="K13" s="24" t="s">
        <v>8</v>
      </c>
      <c r="L13" s="199">
        <f t="shared" ca="1" si="4"/>
        <v>2579.5445977915942</v>
      </c>
      <c r="M13" s="228">
        <f t="shared" si="5"/>
        <v>0</v>
      </c>
      <c r="N13" s="199">
        <f t="shared" ca="1" si="6"/>
        <v>2579.5445977915942</v>
      </c>
      <c r="O13" s="199">
        <f t="shared" ca="1" si="7"/>
        <v>2579.5445977915942</v>
      </c>
      <c r="P13" s="228">
        <f ca="1">OFFSET(mPeak_Data!$B8,('FE-T1'!$BE$1-2018)*12,0)</f>
        <v>2579.5445977915942</v>
      </c>
      <c r="Q13" s="200">
        <f t="shared" ca="1" si="8"/>
        <v>2579.5445977915942</v>
      </c>
      <c r="S13" s="120"/>
      <c r="T13" s="120"/>
      <c r="U13" s="120"/>
      <c r="V13" s="120"/>
      <c r="W13" s="120"/>
      <c r="X13" s="120"/>
      <c r="Y13" s="120"/>
      <c r="Z13" s="115"/>
      <c r="AA13" s="115"/>
    </row>
    <row r="14" spans="2:27">
      <c r="B14" s="24" t="s">
        <v>9</v>
      </c>
      <c r="C14" s="199">
        <f t="shared" ca="1" si="0"/>
        <v>3258.4486458806482</v>
      </c>
      <c r="D14" s="228">
        <v>0</v>
      </c>
      <c r="E14" s="199">
        <f t="shared" ca="1" si="1"/>
        <v>3258.4486458806482</v>
      </c>
      <c r="F14" s="199">
        <f t="shared" ca="1" si="2"/>
        <v>3258.4486458806482</v>
      </c>
      <c r="G14" s="228">
        <f ca="1">OFFSET(mPeak_Data!$G9,('FE-T1'!$BE$1-2018)*12,0)</f>
        <v>3258.4486458806482</v>
      </c>
      <c r="H14" s="200">
        <f t="shared" ca="1" si="3"/>
        <v>3258.4486458806482</v>
      </c>
      <c r="I14" s="98"/>
      <c r="J14" s="98"/>
      <c r="K14" s="24" t="s">
        <v>9</v>
      </c>
      <c r="L14" s="199">
        <f t="shared" ca="1" si="4"/>
        <v>3258.4486458806482</v>
      </c>
      <c r="M14" s="228">
        <f t="shared" si="5"/>
        <v>0</v>
      </c>
      <c r="N14" s="199">
        <f t="shared" ca="1" si="6"/>
        <v>3258.4486458806482</v>
      </c>
      <c r="O14" s="199">
        <f t="shared" ca="1" si="7"/>
        <v>3258.4486458806482</v>
      </c>
      <c r="P14" s="228">
        <f ca="1">OFFSET(mPeak_Data!$B9,('FE-T1'!$BE$1-2018)*12,0)</f>
        <v>3258.4486458806482</v>
      </c>
      <c r="Q14" s="200">
        <f t="shared" ca="1" si="8"/>
        <v>3258.4486458806482</v>
      </c>
      <c r="S14" s="120"/>
      <c r="T14" s="120"/>
      <c r="U14" s="120"/>
      <c r="V14" s="120"/>
      <c r="W14" s="120"/>
      <c r="X14" s="120"/>
      <c r="Y14" s="120"/>
      <c r="Z14" s="115"/>
      <c r="AA14" s="115"/>
    </row>
    <row r="15" spans="2:27">
      <c r="B15" s="24" t="s">
        <v>10</v>
      </c>
      <c r="C15" s="199">
        <f t="shared" ca="1" si="0"/>
        <v>3692.3886262603824</v>
      </c>
      <c r="D15" s="228">
        <v>0</v>
      </c>
      <c r="E15" s="199">
        <f t="shared" ca="1" si="1"/>
        <v>3692.3886262603824</v>
      </c>
      <c r="F15" s="199">
        <f t="shared" ca="1" si="2"/>
        <v>3692.3886262603824</v>
      </c>
      <c r="G15" s="228">
        <f ca="1">OFFSET(mPeak_Data!$G10,('FE-T1'!$BE$1-2018)*12,0)</f>
        <v>3692.3886262603824</v>
      </c>
      <c r="H15" s="200">
        <f t="shared" ca="1" si="3"/>
        <v>3692.3886262603824</v>
      </c>
      <c r="I15" s="98"/>
      <c r="J15" s="98"/>
      <c r="K15" s="24" t="s">
        <v>10</v>
      </c>
      <c r="L15" s="199">
        <f t="shared" ca="1" si="4"/>
        <v>3692.3886262603824</v>
      </c>
      <c r="M15" s="228">
        <f t="shared" si="5"/>
        <v>0</v>
      </c>
      <c r="N15" s="199">
        <f t="shared" ca="1" si="6"/>
        <v>3692.3886262603824</v>
      </c>
      <c r="O15" s="199">
        <f t="shared" ca="1" si="7"/>
        <v>3692.3886262603824</v>
      </c>
      <c r="P15" s="228">
        <f ca="1">OFFSET(mPeak_Data!$B10,('FE-T1'!$BE$1-2018)*12,0)</f>
        <v>3692.3886262603824</v>
      </c>
      <c r="Q15" s="200">
        <f t="shared" ca="1" si="8"/>
        <v>3692.3886262603824</v>
      </c>
      <c r="S15" s="120"/>
      <c r="T15" s="120"/>
      <c r="U15" s="120"/>
      <c r="V15" s="120"/>
      <c r="W15" s="120"/>
      <c r="X15" s="120"/>
      <c r="Y15" s="120"/>
      <c r="Z15" s="115"/>
      <c r="AA15" s="115"/>
    </row>
    <row r="16" spans="2:27">
      <c r="B16" s="24" t="s">
        <v>11</v>
      </c>
      <c r="C16" s="199">
        <f t="shared" ca="1" si="0"/>
        <v>3997.2000607025307</v>
      </c>
      <c r="D16" s="228">
        <v>0</v>
      </c>
      <c r="E16" s="199">
        <f t="shared" ca="1" si="1"/>
        <v>3997.2000607025307</v>
      </c>
      <c r="F16" s="199">
        <f t="shared" ca="1" si="2"/>
        <v>3997.2000607025307</v>
      </c>
      <c r="G16" s="228">
        <f ca="1">OFFSET(mPeak_Data!$G11,('FE-T1'!$BE$1-2018)*12,0)</f>
        <v>3997.2000607025307</v>
      </c>
      <c r="H16" s="200">
        <f t="shared" ca="1" si="3"/>
        <v>3997.2000607025307</v>
      </c>
      <c r="I16" s="98"/>
      <c r="J16" s="98"/>
      <c r="K16" s="24" t="s">
        <v>11</v>
      </c>
      <c r="L16" s="199">
        <f t="shared" ca="1" si="4"/>
        <v>3997.2000607025307</v>
      </c>
      <c r="M16" s="228">
        <f t="shared" si="5"/>
        <v>0</v>
      </c>
      <c r="N16" s="199">
        <f t="shared" ca="1" si="6"/>
        <v>3997.2000607025307</v>
      </c>
      <c r="O16" s="199">
        <f t="shared" ca="1" si="7"/>
        <v>3997.2000607025307</v>
      </c>
      <c r="P16" s="228">
        <f ca="1">OFFSET(mPeak_Data!$B11,('FE-T1'!$BE$1-2018)*12,0)</f>
        <v>3997.2000607025307</v>
      </c>
      <c r="Q16" s="200">
        <f t="shared" ca="1" si="8"/>
        <v>3997.2000607025307</v>
      </c>
      <c r="S16" s="120"/>
      <c r="T16" s="120"/>
      <c r="U16" s="120"/>
      <c r="V16" s="120"/>
      <c r="W16" s="120"/>
      <c r="X16" s="120"/>
      <c r="Y16" s="120"/>
      <c r="Z16" s="115"/>
      <c r="AA16" s="115"/>
    </row>
    <row r="17" spans="2:27">
      <c r="B17" s="24" t="s">
        <v>12</v>
      </c>
      <c r="C17" s="199">
        <f t="shared" ca="1" si="0"/>
        <v>3885.8172551086059</v>
      </c>
      <c r="D17" s="228">
        <v>0</v>
      </c>
      <c r="E17" s="199">
        <f t="shared" ca="1" si="1"/>
        <v>3885.8172551086059</v>
      </c>
      <c r="F17" s="199">
        <f t="shared" ca="1" si="2"/>
        <v>3885.8172551086059</v>
      </c>
      <c r="G17" s="228">
        <f ca="1">OFFSET(mPeak_Data!$G12,('FE-T1'!$BE$1-2018)*12,0)</f>
        <v>3885.8172551086059</v>
      </c>
      <c r="H17" s="200">
        <f t="shared" ca="1" si="3"/>
        <v>3885.8172551086059</v>
      </c>
      <c r="I17" s="98"/>
      <c r="J17" s="98"/>
      <c r="K17" s="24" t="s">
        <v>12</v>
      </c>
      <c r="L17" s="199">
        <f t="shared" ca="1" si="4"/>
        <v>3885.8172551086059</v>
      </c>
      <c r="M17" s="228">
        <f t="shared" si="5"/>
        <v>0</v>
      </c>
      <c r="N17" s="199">
        <f t="shared" ca="1" si="6"/>
        <v>3885.8172551086059</v>
      </c>
      <c r="O17" s="199">
        <f t="shared" ca="1" si="7"/>
        <v>3885.8172551086059</v>
      </c>
      <c r="P17" s="228">
        <f ca="1">OFFSET(mPeak_Data!$B12,('FE-T1'!$BE$1-2018)*12,0)</f>
        <v>3885.8172551086059</v>
      </c>
      <c r="Q17" s="200">
        <f t="shared" ca="1" si="8"/>
        <v>3885.8172551086059</v>
      </c>
      <c r="S17" s="120"/>
      <c r="T17" s="120"/>
      <c r="U17" s="120"/>
      <c r="V17" s="120"/>
      <c r="W17" s="120"/>
      <c r="X17" s="120"/>
      <c r="Y17" s="120"/>
      <c r="Z17" s="115"/>
      <c r="AA17" s="115"/>
    </row>
    <row r="18" spans="2:27">
      <c r="B18" s="24" t="s">
        <v>13</v>
      </c>
      <c r="C18" s="199">
        <f t="shared" ca="1" si="0"/>
        <v>3537.4652843236008</v>
      </c>
      <c r="D18" s="228">
        <v>0</v>
      </c>
      <c r="E18" s="199">
        <f t="shared" ca="1" si="1"/>
        <v>3537.4652843236008</v>
      </c>
      <c r="F18" s="199">
        <f t="shared" ca="1" si="2"/>
        <v>3537.4652843236008</v>
      </c>
      <c r="G18" s="228">
        <f ca="1">OFFSET(mPeak_Data!$G13,('FE-T1'!$BE$1-2018)*12,0)</f>
        <v>3537.4652843236008</v>
      </c>
      <c r="H18" s="200">
        <f t="shared" ca="1" si="3"/>
        <v>3537.4652843236008</v>
      </c>
      <c r="I18" s="98"/>
      <c r="J18" s="98"/>
      <c r="K18" s="24" t="s">
        <v>13</v>
      </c>
      <c r="L18" s="199">
        <f t="shared" ca="1" si="4"/>
        <v>3537.4652843236013</v>
      </c>
      <c r="M18" s="228">
        <f t="shared" si="5"/>
        <v>0</v>
      </c>
      <c r="N18" s="199">
        <f t="shared" ca="1" si="6"/>
        <v>3537.4652843236013</v>
      </c>
      <c r="O18" s="199">
        <f t="shared" ca="1" si="7"/>
        <v>3537.4652843236013</v>
      </c>
      <c r="P18" s="228">
        <f ca="1">OFFSET(mPeak_Data!$B13,('FE-T1'!$BE$1-2018)*12,0)</f>
        <v>3537.4652843236013</v>
      </c>
      <c r="Q18" s="200">
        <f t="shared" ca="1" si="8"/>
        <v>3537.4652843236013</v>
      </c>
      <c r="S18" s="120"/>
      <c r="T18" s="120"/>
      <c r="U18" s="120"/>
      <c r="V18" s="120"/>
      <c r="W18" s="120"/>
      <c r="X18" s="120"/>
      <c r="Y18" s="120"/>
      <c r="Z18" s="115"/>
      <c r="AA18" s="115"/>
    </row>
    <row r="19" spans="2:27">
      <c r="B19" s="24" t="s">
        <v>14</v>
      </c>
      <c r="C19" s="199">
        <f t="shared" ca="1" si="0"/>
        <v>2616.1285354924898</v>
      </c>
      <c r="D19" s="228">
        <v>0</v>
      </c>
      <c r="E19" s="199">
        <f t="shared" ca="1" si="1"/>
        <v>2616.1285354924898</v>
      </c>
      <c r="F19" s="199">
        <f t="shared" ca="1" si="2"/>
        <v>2616.1285354924898</v>
      </c>
      <c r="G19" s="228">
        <f ca="1">OFFSET(mPeak_Data!$G14,('FE-T1'!$BE$1-2018)*12,0)</f>
        <v>2616.1285354924898</v>
      </c>
      <c r="H19" s="200">
        <f t="shared" ca="1" si="3"/>
        <v>2616.1285354924898</v>
      </c>
      <c r="I19" s="98"/>
      <c r="J19" s="98"/>
      <c r="K19" s="24" t="s">
        <v>14</v>
      </c>
      <c r="L19" s="199">
        <f t="shared" ca="1" si="4"/>
        <v>2616.1285354924894</v>
      </c>
      <c r="M19" s="228">
        <f t="shared" si="5"/>
        <v>0</v>
      </c>
      <c r="N19" s="199">
        <f t="shared" ca="1" si="6"/>
        <v>2616.1285354924894</v>
      </c>
      <c r="O19" s="199">
        <f t="shared" ca="1" si="7"/>
        <v>2616.1285354924894</v>
      </c>
      <c r="P19" s="228">
        <f ca="1">OFFSET(mPeak_Data!$B14,('FE-T1'!$BE$1-2018)*12,0)</f>
        <v>2616.1285354924894</v>
      </c>
      <c r="Q19" s="200">
        <f t="shared" ca="1" si="8"/>
        <v>2616.1285354924894</v>
      </c>
      <c r="S19" s="120"/>
      <c r="T19" s="120"/>
      <c r="U19" s="120"/>
      <c r="V19" s="120"/>
      <c r="W19" s="120"/>
      <c r="X19" s="120"/>
      <c r="Y19" s="120"/>
      <c r="Z19" s="115"/>
      <c r="AA19" s="115"/>
    </row>
    <row r="20" spans="2:27">
      <c r="B20" s="24" t="s">
        <v>15</v>
      </c>
      <c r="C20" s="199">
        <f t="shared" ca="1" si="0"/>
        <v>2950.4122954781815</v>
      </c>
      <c r="D20" s="228">
        <v>0</v>
      </c>
      <c r="E20" s="199">
        <f t="shared" ca="1" si="1"/>
        <v>2950.4122954781815</v>
      </c>
      <c r="F20" s="199">
        <f t="shared" ca="1" si="2"/>
        <v>2950.4122954781815</v>
      </c>
      <c r="G20" s="228">
        <f ca="1">OFFSET(mPeak_Data!$G15,('FE-T1'!$BE$1-2018)*12,0)</f>
        <v>2950.4122954781815</v>
      </c>
      <c r="H20" s="200">
        <f t="shared" ca="1" si="3"/>
        <v>2950.4122954781815</v>
      </c>
      <c r="I20" s="98"/>
      <c r="J20" s="98"/>
      <c r="K20" s="24" t="s">
        <v>15</v>
      </c>
      <c r="L20" s="199">
        <f t="shared" ca="1" si="4"/>
        <v>2950.4122954781819</v>
      </c>
      <c r="M20" s="228">
        <f t="shared" si="5"/>
        <v>0</v>
      </c>
      <c r="N20" s="199">
        <f t="shared" ca="1" si="6"/>
        <v>2950.4122954781819</v>
      </c>
      <c r="O20" s="199">
        <f t="shared" ca="1" si="7"/>
        <v>2950.4122954781819</v>
      </c>
      <c r="P20" s="228">
        <f ca="1">OFFSET(mPeak_Data!$B15,('FE-T1'!$BE$1-2018)*12,0)</f>
        <v>2950.4122954781819</v>
      </c>
      <c r="Q20" s="200">
        <f t="shared" ca="1" si="8"/>
        <v>2950.4122954781819</v>
      </c>
      <c r="S20" s="120"/>
      <c r="T20" s="120"/>
      <c r="U20" s="120"/>
      <c r="V20" s="120"/>
      <c r="W20" s="120"/>
      <c r="X20" s="120"/>
      <c r="Y20" s="120"/>
      <c r="Z20" s="115"/>
      <c r="AA20" s="115"/>
    </row>
    <row r="21" spans="2:27">
      <c r="B21" s="24" t="s">
        <v>16</v>
      </c>
      <c r="C21" s="199">
        <f t="shared" ca="1" si="0"/>
        <v>3188.1168738483461</v>
      </c>
      <c r="D21" s="228">
        <v>0</v>
      </c>
      <c r="E21" s="199">
        <f t="shared" ca="1" si="1"/>
        <v>3188.1168738483461</v>
      </c>
      <c r="F21" s="199">
        <f t="shared" ca="1" si="2"/>
        <v>3188.1168738483461</v>
      </c>
      <c r="G21" s="228">
        <f ca="1">OFFSET(mPeak_Data!$G16,('FE-T1'!$BE$1-2018)*12,0)</f>
        <v>3188.1168738483461</v>
      </c>
      <c r="H21" s="200">
        <f t="shared" ca="1" si="3"/>
        <v>3188.1168738483461</v>
      </c>
      <c r="I21" s="98"/>
      <c r="J21" s="98"/>
      <c r="K21" s="24" t="s">
        <v>16</v>
      </c>
      <c r="L21" s="199">
        <f t="shared" ca="1" si="4"/>
        <v>3188.1168738483461</v>
      </c>
      <c r="M21" s="228">
        <f t="shared" si="5"/>
        <v>0</v>
      </c>
      <c r="N21" s="199">
        <f t="shared" ca="1" si="6"/>
        <v>3188.1168738483461</v>
      </c>
      <c r="O21" s="199">
        <f t="shared" ca="1" si="7"/>
        <v>3188.1168738483461</v>
      </c>
      <c r="P21" s="228">
        <f ca="1">OFFSET(mPeak_Data!$B16,('FE-T1'!$BE$1-2018)*12,0)</f>
        <v>3188.1168738483461</v>
      </c>
      <c r="Q21" s="200">
        <f t="shared" ca="1" si="8"/>
        <v>3188.1168738483461</v>
      </c>
      <c r="S21" s="120"/>
      <c r="T21" s="120"/>
      <c r="U21" s="120"/>
      <c r="V21" s="120"/>
      <c r="W21" s="120"/>
      <c r="X21" s="120"/>
      <c r="Y21" s="120"/>
      <c r="Z21" s="115"/>
      <c r="AA21" s="115"/>
    </row>
    <row r="22" spans="2:27">
      <c r="B22" s="21"/>
      <c r="C22" s="207"/>
      <c r="D22" s="225"/>
      <c r="E22" s="207"/>
      <c r="F22" s="207"/>
      <c r="G22" s="225"/>
      <c r="H22" s="208"/>
      <c r="I22" s="98"/>
      <c r="J22" s="98"/>
      <c r="K22" s="21"/>
      <c r="L22" s="207"/>
      <c r="M22" s="225"/>
      <c r="N22" s="207"/>
      <c r="O22" s="207"/>
      <c r="P22" s="225"/>
      <c r="Q22" s="200"/>
      <c r="S22" s="120"/>
      <c r="T22" s="120"/>
      <c r="U22" s="120"/>
      <c r="V22" s="120"/>
      <c r="W22" s="120"/>
      <c r="X22" s="120"/>
      <c r="Y22" s="120"/>
      <c r="Z22" s="115"/>
    </row>
    <row r="23" spans="2:27">
      <c r="B23" s="196" t="str">
        <f>CONCATENATE('FE-T1'!$BE$1+1, " (d)")</f>
        <v>2025 (d)</v>
      </c>
      <c r="C23" s="207"/>
      <c r="D23" s="225"/>
      <c r="E23" s="207"/>
      <c r="F23" s="207"/>
      <c r="G23" s="225"/>
      <c r="H23" s="208"/>
      <c r="I23" s="98"/>
      <c r="J23" s="98"/>
      <c r="K23" s="196" t="str">
        <f>CONCATENATE('FE-T1'!$BE$1+1, " (d)")</f>
        <v>2025 (d)</v>
      </c>
      <c r="L23" s="207"/>
      <c r="M23" s="225"/>
      <c r="N23" s="207"/>
      <c r="O23" s="207"/>
      <c r="P23" s="225"/>
      <c r="Q23" s="213"/>
      <c r="S23" s="120"/>
      <c r="T23" s="120"/>
      <c r="U23" s="120"/>
      <c r="V23" s="120"/>
      <c r="W23" s="120"/>
      <c r="X23" s="120"/>
      <c r="Y23" s="120"/>
      <c r="Z23" s="115"/>
    </row>
    <row r="24" spans="2:27">
      <c r="B24" s="21"/>
      <c r="C24" s="207"/>
      <c r="D24" s="225"/>
      <c r="E24" s="207"/>
      <c r="F24" s="207"/>
      <c r="G24" s="225"/>
      <c r="H24" s="208"/>
      <c r="I24" s="98"/>
      <c r="J24" s="98"/>
      <c r="K24" s="21"/>
      <c r="L24" s="207"/>
      <c r="M24" s="225"/>
      <c r="N24" s="207"/>
      <c r="O24" s="207"/>
      <c r="P24" s="225"/>
      <c r="Q24" s="213"/>
      <c r="S24" s="120"/>
      <c r="T24" s="120"/>
      <c r="U24" s="120"/>
      <c r="V24" s="120"/>
      <c r="W24" s="120"/>
      <c r="X24" s="120"/>
      <c r="Y24" s="120"/>
      <c r="Z24" s="115"/>
    </row>
    <row r="25" spans="2:27">
      <c r="B25" s="24" t="s">
        <v>5</v>
      </c>
      <c r="C25" s="199">
        <f t="shared" ref="C25:C36" ca="1" si="9">G25-D25</f>
        <v>3482.179251489913</v>
      </c>
      <c r="D25" s="228">
        <v>0</v>
      </c>
      <c r="E25" s="199">
        <f t="shared" ref="E25:E36" ca="1" si="10">C25</f>
        <v>3482.179251489913</v>
      </c>
      <c r="F25" s="199">
        <f t="shared" ref="F25:F36" ca="1" si="11">E25</f>
        <v>3482.179251489913</v>
      </c>
      <c r="G25" s="228">
        <f ca="1">OFFSET(mPeak_Data!$G17,('FE-T1'!$BE$1-2018)*12,0)</f>
        <v>3482.179251489913</v>
      </c>
      <c r="H25" s="200">
        <f ca="1">G25</f>
        <v>3482.179251489913</v>
      </c>
      <c r="I25" s="98"/>
      <c r="J25" s="98"/>
      <c r="K25" s="24" t="s">
        <v>5</v>
      </c>
      <c r="L25" s="199">
        <f t="shared" ref="L25:L36" ca="1" si="12">P25-M25</f>
        <v>3482.179251489913</v>
      </c>
      <c r="M25" s="228">
        <f t="shared" ref="M25:M36" si="13">D25</f>
        <v>0</v>
      </c>
      <c r="N25" s="199">
        <f t="shared" ref="N25:N36" ca="1" si="14">L25</f>
        <v>3482.179251489913</v>
      </c>
      <c r="O25" s="199">
        <f t="shared" ref="O25:O36" ca="1" si="15">L25</f>
        <v>3482.179251489913</v>
      </c>
      <c r="P25" s="228">
        <f ca="1">OFFSET(mPeak_Data!$B17,('FE-T1'!$BE$1-2018)*12,0)</f>
        <v>3482.179251489913</v>
      </c>
      <c r="Q25" s="200">
        <f t="shared" ref="Q25:Q36" ca="1" si="16">P25</f>
        <v>3482.179251489913</v>
      </c>
      <c r="S25" s="120"/>
      <c r="T25" s="120"/>
      <c r="U25" s="120"/>
      <c r="V25" s="120"/>
      <c r="W25" s="120"/>
      <c r="X25" s="120"/>
      <c r="Y25" s="120"/>
      <c r="Z25" s="115"/>
    </row>
    <row r="26" spans="2:27">
      <c r="B26" s="24" t="s">
        <v>6</v>
      </c>
      <c r="C26" s="199">
        <f t="shared" ca="1" si="9"/>
        <v>3263.2042596906799</v>
      </c>
      <c r="D26" s="228">
        <v>0</v>
      </c>
      <c r="E26" s="199">
        <f t="shared" ca="1" si="10"/>
        <v>3263.2042596906799</v>
      </c>
      <c r="F26" s="199">
        <f t="shared" ca="1" si="11"/>
        <v>3263.2042596906799</v>
      </c>
      <c r="G26" s="228">
        <f ca="1">OFFSET(mPeak_Data!$G18,('FE-T1'!$BE$1-2018)*12,0)</f>
        <v>3263.2042596906799</v>
      </c>
      <c r="H26" s="200">
        <f t="shared" ref="H26:H35" ca="1" si="17">G26</f>
        <v>3263.2042596906799</v>
      </c>
      <c r="I26" s="98"/>
      <c r="J26" s="98"/>
      <c r="K26" s="24" t="s">
        <v>6</v>
      </c>
      <c r="L26" s="199">
        <f t="shared" ca="1" si="12"/>
        <v>3263.2042596906799</v>
      </c>
      <c r="M26" s="228">
        <f t="shared" si="13"/>
        <v>0</v>
      </c>
      <c r="N26" s="199">
        <f t="shared" ca="1" si="14"/>
        <v>3263.2042596906799</v>
      </c>
      <c r="O26" s="199">
        <f t="shared" ca="1" si="15"/>
        <v>3263.2042596906799</v>
      </c>
      <c r="P26" s="228">
        <f ca="1">OFFSET(mPeak_Data!$B18,('FE-T1'!$BE$1-2018)*12,0)</f>
        <v>3263.2042596906799</v>
      </c>
      <c r="Q26" s="200">
        <f t="shared" ca="1" si="16"/>
        <v>3263.2042596906799</v>
      </c>
      <c r="S26" s="120"/>
      <c r="T26" s="120"/>
      <c r="U26" s="120"/>
      <c r="V26" s="120"/>
      <c r="W26" s="120"/>
      <c r="X26" s="120"/>
      <c r="Y26" s="120"/>
      <c r="Z26" s="115"/>
    </row>
    <row r="27" spans="2:27">
      <c r="B27" s="24" t="s">
        <v>7</v>
      </c>
      <c r="C27" s="199">
        <f t="shared" ca="1" si="9"/>
        <v>2966.1191928744715</v>
      </c>
      <c r="D27" s="228">
        <v>0</v>
      </c>
      <c r="E27" s="199">
        <f t="shared" ca="1" si="10"/>
        <v>2966.1191928744715</v>
      </c>
      <c r="F27" s="199">
        <f t="shared" ca="1" si="11"/>
        <v>2966.1191928744715</v>
      </c>
      <c r="G27" s="228">
        <f ca="1">OFFSET(mPeak_Data!$G19,('FE-T1'!$BE$1-2018)*12,0)</f>
        <v>2966.1191928744715</v>
      </c>
      <c r="H27" s="200">
        <f t="shared" ca="1" si="17"/>
        <v>2966.1191928744715</v>
      </c>
      <c r="I27" s="98"/>
      <c r="J27" s="98"/>
      <c r="K27" s="24" t="s">
        <v>7</v>
      </c>
      <c r="L27" s="199">
        <f t="shared" ca="1" si="12"/>
        <v>2966.119192874472</v>
      </c>
      <c r="M27" s="228">
        <f t="shared" si="13"/>
        <v>0</v>
      </c>
      <c r="N27" s="199">
        <f t="shared" ca="1" si="14"/>
        <v>2966.119192874472</v>
      </c>
      <c r="O27" s="199">
        <f t="shared" ca="1" si="15"/>
        <v>2966.119192874472</v>
      </c>
      <c r="P27" s="228">
        <f ca="1">OFFSET(mPeak_Data!$B19,('FE-T1'!$BE$1-2018)*12,0)</f>
        <v>2966.119192874472</v>
      </c>
      <c r="Q27" s="200">
        <f t="shared" ca="1" si="16"/>
        <v>2966.119192874472</v>
      </c>
      <c r="S27" s="120"/>
      <c r="T27" s="120"/>
      <c r="U27" s="120"/>
      <c r="V27" s="120"/>
      <c r="W27" s="120"/>
      <c r="X27" s="120"/>
      <c r="Y27" s="120"/>
      <c r="Z27" s="115"/>
    </row>
    <row r="28" spans="2:27">
      <c r="B28" s="24" t="s">
        <v>8</v>
      </c>
      <c r="C28" s="199">
        <f t="shared" ca="1" si="9"/>
        <v>2562.7257024190826</v>
      </c>
      <c r="D28" s="228">
        <v>0</v>
      </c>
      <c r="E28" s="199">
        <f t="shared" ca="1" si="10"/>
        <v>2562.7257024190826</v>
      </c>
      <c r="F28" s="199">
        <f t="shared" ca="1" si="11"/>
        <v>2562.7257024190826</v>
      </c>
      <c r="G28" s="228">
        <f ca="1">OFFSET(mPeak_Data!$G20,('FE-T1'!$BE$1-2018)*12,0)</f>
        <v>2562.7257024190826</v>
      </c>
      <c r="H28" s="200">
        <f t="shared" ca="1" si="17"/>
        <v>2562.7257024190826</v>
      </c>
      <c r="I28" s="98"/>
      <c r="J28" s="98"/>
      <c r="K28" s="24" t="s">
        <v>8</v>
      </c>
      <c r="L28" s="199">
        <f t="shared" ca="1" si="12"/>
        <v>2562.7257024190826</v>
      </c>
      <c r="M28" s="228">
        <f t="shared" si="13"/>
        <v>0</v>
      </c>
      <c r="N28" s="199">
        <f t="shared" ca="1" si="14"/>
        <v>2562.7257024190826</v>
      </c>
      <c r="O28" s="199">
        <f t="shared" ca="1" si="15"/>
        <v>2562.7257024190826</v>
      </c>
      <c r="P28" s="228">
        <f ca="1">OFFSET(mPeak_Data!$B20,('FE-T1'!$BE$1-2018)*12,0)</f>
        <v>2562.7257024190826</v>
      </c>
      <c r="Q28" s="200">
        <f t="shared" ca="1" si="16"/>
        <v>2562.7257024190826</v>
      </c>
      <c r="S28" s="120"/>
      <c r="T28" s="120"/>
      <c r="U28" s="120"/>
      <c r="V28" s="120"/>
      <c r="W28" s="120"/>
      <c r="X28" s="120"/>
      <c r="Y28" s="120"/>
      <c r="Z28" s="115"/>
    </row>
    <row r="29" spans="2:27">
      <c r="B29" s="24" t="s">
        <v>9</v>
      </c>
      <c r="C29" s="199">
        <f t="shared" ca="1" si="9"/>
        <v>3253.7967422008264</v>
      </c>
      <c r="D29" s="228">
        <v>0</v>
      </c>
      <c r="E29" s="199">
        <f t="shared" ca="1" si="10"/>
        <v>3253.7967422008264</v>
      </c>
      <c r="F29" s="199">
        <f t="shared" ca="1" si="11"/>
        <v>3253.7967422008264</v>
      </c>
      <c r="G29" s="228">
        <f ca="1">OFFSET(mPeak_Data!$G21,('FE-T1'!$BE$1-2018)*12,0)</f>
        <v>3253.7967422008264</v>
      </c>
      <c r="H29" s="200">
        <f t="shared" ca="1" si="17"/>
        <v>3253.7967422008264</v>
      </c>
      <c r="I29" s="98"/>
      <c r="J29" s="98"/>
      <c r="K29" s="24" t="s">
        <v>9</v>
      </c>
      <c r="L29" s="199">
        <f t="shared" ca="1" si="12"/>
        <v>3253.7967422008264</v>
      </c>
      <c r="M29" s="228">
        <f t="shared" si="13"/>
        <v>0</v>
      </c>
      <c r="N29" s="199">
        <f t="shared" ca="1" si="14"/>
        <v>3253.7967422008264</v>
      </c>
      <c r="O29" s="199">
        <f t="shared" ca="1" si="15"/>
        <v>3253.7967422008264</v>
      </c>
      <c r="P29" s="228">
        <f ca="1">OFFSET(mPeak_Data!$B21,('FE-T1'!$BE$1-2018)*12,0)</f>
        <v>3253.7967422008264</v>
      </c>
      <c r="Q29" s="200">
        <f t="shared" ca="1" si="16"/>
        <v>3253.7967422008264</v>
      </c>
      <c r="S29" s="120"/>
      <c r="T29" s="120"/>
      <c r="U29" s="120"/>
      <c r="V29" s="120"/>
      <c r="W29" s="120"/>
      <c r="X29" s="120"/>
      <c r="Y29" s="120"/>
      <c r="Z29" s="115"/>
    </row>
    <row r="30" spans="2:27">
      <c r="B30" s="24" t="s">
        <v>10</v>
      </c>
      <c r="C30" s="199">
        <f t="shared" ca="1" si="9"/>
        <v>3695.2529771047548</v>
      </c>
      <c r="D30" s="228">
        <v>0</v>
      </c>
      <c r="E30" s="199">
        <f t="shared" ca="1" si="10"/>
        <v>3695.2529771047548</v>
      </c>
      <c r="F30" s="199">
        <f t="shared" ca="1" si="11"/>
        <v>3695.2529771047548</v>
      </c>
      <c r="G30" s="228">
        <f ca="1">OFFSET(mPeak_Data!$G22,('FE-T1'!$BE$1-2018)*12,0)</f>
        <v>3695.2529771047548</v>
      </c>
      <c r="H30" s="200">
        <f t="shared" ca="1" si="17"/>
        <v>3695.2529771047548</v>
      </c>
      <c r="I30" s="98"/>
      <c r="J30" s="98"/>
      <c r="K30" s="24" t="s">
        <v>10</v>
      </c>
      <c r="L30" s="199">
        <f t="shared" ca="1" si="12"/>
        <v>3695.2529771047548</v>
      </c>
      <c r="M30" s="228">
        <f t="shared" si="13"/>
        <v>0</v>
      </c>
      <c r="N30" s="199">
        <f t="shared" ca="1" si="14"/>
        <v>3695.2529771047548</v>
      </c>
      <c r="O30" s="199">
        <f t="shared" ca="1" si="15"/>
        <v>3695.2529771047548</v>
      </c>
      <c r="P30" s="228">
        <f ca="1">OFFSET(mPeak_Data!$B22,('FE-T1'!$BE$1-2018)*12,0)</f>
        <v>3695.2529771047548</v>
      </c>
      <c r="Q30" s="200">
        <f t="shared" ca="1" si="16"/>
        <v>3695.2529771047548</v>
      </c>
      <c r="S30" s="120"/>
      <c r="T30" s="120"/>
      <c r="U30" s="120"/>
      <c r="V30" s="120"/>
      <c r="W30" s="120"/>
      <c r="X30" s="120"/>
      <c r="Y30" s="120"/>
      <c r="Z30" s="115"/>
    </row>
    <row r="31" spans="2:27">
      <c r="B31" s="24" t="s">
        <v>11</v>
      </c>
      <c r="C31" s="199">
        <f t="shared" ca="1" si="9"/>
        <v>4003.0604601966047</v>
      </c>
      <c r="D31" s="228">
        <v>0</v>
      </c>
      <c r="E31" s="199">
        <f t="shared" ca="1" si="10"/>
        <v>4003.0604601966047</v>
      </c>
      <c r="F31" s="199">
        <f t="shared" ca="1" si="11"/>
        <v>4003.0604601966047</v>
      </c>
      <c r="G31" s="228">
        <f ca="1">OFFSET(mPeak_Data!$G23,('FE-T1'!$BE$1-2018)*12,0)</f>
        <v>4003.0604601966047</v>
      </c>
      <c r="H31" s="200">
        <f t="shared" ca="1" si="17"/>
        <v>4003.0604601966047</v>
      </c>
      <c r="I31" s="98"/>
      <c r="J31" s="98"/>
      <c r="K31" s="24" t="s">
        <v>11</v>
      </c>
      <c r="L31" s="199">
        <f t="shared" ca="1" si="12"/>
        <v>4003.0604601966052</v>
      </c>
      <c r="M31" s="228">
        <f t="shared" si="13"/>
        <v>0</v>
      </c>
      <c r="N31" s="199">
        <f t="shared" ca="1" si="14"/>
        <v>4003.0604601966052</v>
      </c>
      <c r="O31" s="199">
        <f t="shared" ca="1" si="15"/>
        <v>4003.0604601966052</v>
      </c>
      <c r="P31" s="228">
        <f ca="1">OFFSET(mPeak_Data!$B23,('FE-T1'!$BE$1-2018)*12,0)</f>
        <v>4003.0604601966052</v>
      </c>
      <c r="Q31" s="200">
        <f t="shared" ca="1" si="16"/>
        <v>4003.0604601966052</v>
      </c>
      <c r="S31" s="120"/>
      <c r="T31" s="120"/>
      <c r="U31" s="120"/>
      <c r="V31" s="120"/>
      <c r="W31" s="120"/>
      <c r="X31" s="120"/>
      <c r="Y31" s="120"/>
      <c r="Z31" s="115"/>
    </row>
    <row r="32" spans="2:27">
      <c r="B32" s="24" t="s">
        <v>12</v>
      </c>
      <c r="C32" s="199">
        <f t="shared" ca="1" si="9"/>
        <v>3894.549021444639</v>
      </c>
      <c r="D32" s="228">
        <v>0</v>
      </c>
      <c r="E32" s="199">
        <f t="shared" ca="1" si="10"/>
        <v>3894.549021444639</v>
      </c>
      <c r="F32" s="199">
        <f t="shared" ca="1" si="11"/>
        <v>3894.549021444639</v>
      </c>
      <c r="G32" s="228">
        <f ca="1">OFFSET(mPeak_Data!$G24,('FE-T1'!$BE$1-2018)*12,0)</f>
        <v>3894.549021444639</v>
      </c>
      <c r="H32" s="200">
        <f t="shared" ca="1" si="17"/>
        <v>3894.549021444639</v>
      </c>
      <c r="I32" s="98"/>
      <c r="J32" s="98"/>
      <c r="K32" s="24" t="s">
        <v>12</v>
      </c>
      <c r="L32" s="199">
        <f t="shared" ca="1" si="12"/>
        <v>3894.5490214446395</v>
      </c>
      <c r="M32" s="228">
        <f t="shared" si="13"/>
        <v>0</v>
      </c>
      <c r="N32" s="199">
        <f t="shared" ca="1" si="14"/>
        <v>3894.5490214446395</v>
      </c>
      <c r="O32" s="199">
        <f t="shared" ca="1" si="15"/>
        <v>3894.5490214446395</v>
      </c>
      <c r="P32" s="228">
        <f ca="1">OFFSET(mPeak_Data!$B24,('FE-T1'!$BE$1-2018)*12,0)</f>
        <v>3894.5490214446395</v>
      </c>
      <c r="Q32" s="200">
        <f t="shared" ca="1" si="16"/>
        <v>3894.5490214446395</v>
      </c>
      <c r="S32" s="120"/>
      <c r="T32" s="120"/>
      <c r="U32" s="120"/>
      <c r="V32" s="120"/>
      <c r="W32" s="120"/>
      <c r="X32" s="120"/>
      <c r="Y32" s="120"/>
      <c r="Z32" s="115"/>
    </row>
    <row r="33" spans="1:26">
      <c r="B33" s="24" t="s">
        <v>13</v>
      </c>
      <c r="C33" s="199">
        <f t="shared" ca="1" si="9"/>
        <v>3546.4230260360432</v>
      </c>
      <c r="D33" s="228">
        <v>0</v>
      </c>
      <c r="E33" s="199">
        <f t="shared" ca="1" si="10"/>
        <v>3546.4230260360432</v>
      </c>
      <c r="F33" s="199">
        <f t="shared" ca="1" si="11"/>
        <v>3546.4230260360432</v>
      </c>
      <c r="G33" s="228">
        <f ca="1">OFFSET(mPeak_Data!$G25,('FE-T1'!$BE$1-2018)*12,0)</f>
        <v>3546.4230260360432</v>
      </c>
      <c r="H33" s="200">
        <f t="shared" ca="1" si="17"/>
        <v>3546.4230260360432</v>
      </c>
      <c r="I33" s="98"/>
      <c r="J33" s="98"/>
      <c r="K33" s="24" t="s">
        <v>13</v>
      </c>
      <c r="L33" s="199">
        <f t="shared" ca="1" si="12"/>
        <v>3546.4230260360432</v>
      </c>
      <c r="M33" s="228">
        <f t="shared" si="13"/>
        <v>0</v>
      </c>
      <c r="N33" s="199">
        <f t="shared" ca="1" si="14"/>
        <v>3546.4230260360432</v>
      </c>
      <c r="O33" s="199">
        <f t="shared" ca="1" si="15"/>
        <v>3546.4230260360432</v>
      </c>
      <c r="P33" s="228">
        <f ca="1">OFFSET(mPeak_Data!$B25,('FE-T1'!$BE$1-2018)*12,0)</f>
        <v>3546.4230260360432</v>
      </c>
      <c r="Q33" s="200">
        <f t="shared" ca="1" si="16"/>
        <v>3546.4230260360432</v>
      </c>
      <c r="S33" s="120"/>
      <c r="T33" s="120"/>
      <c r="U33" s="120"/>
      <c r="V33" s="120"/>
      <c r="W33" s="120"/>
      <c r="X33" s="120"/>
      <c r="Y33" s="120"/>
      <c r="Z33" s="115"/>
    </row>
    <row r="34" spans="1:26">
      <c r="B34" s="24" t="s">
        <v>14</v>
      </c>
      <c r="C34" s="199">
        <f t="shared" ca="1" si="9"/>
        <v>2630.0244275057548</v>
      </c>
      <c r="D34" s="228">
        <v>0</v>
      </c>
      <c r="E34" s="199">
        <f t="shared" ca="1" si="10"/>
        <v>2630.0244275057548</v>
      </c>
      <c r="F34" s="199">
        <f t="shared" ca="1" si="11"/>
        <v>2630.0244275057548</v>
      </c>
      <c r="G34" s="228">
        <f ca="1">OFFSET(mPeak_Data!$G26,('FE-T1'!$BE$1-2018)*12,0)</f>
        <v>2630.0244275057548</v>
      </c>
      <c r="H34" s="200">
        <f t="shared" ca="1" si="17"/>
        <v>2630.0244275057548</v>
      </c>
      <c r="I34" s="98"/>
      <c r="J34" s="98"/>
      <c r="K34" s="24" t="s">
        <v>14</v>
      </c>
      <c r="L34" s="199">
        <f t="shared" ca="1" si="12"/>
        <v>2630.0244275057548</v>
      </c>
      <c r="M34" s="228">
        <f t="shared" si="13"/>
        <v>0</v>
      </c>
      <c r="N34" s="199">
        <f t="shared" ca="1" si="14"/>
        <v>2630.0244275057548</v>
      </c>
      <c r="O34" s="199">
        <f t="shared" ca="1" si="15"/>
        <v>2630.0244275057548</v>
      </c>
      <c r="P34" s="228">
        <f ca="1">OFFSET(mPeak_Data!$B26,('FE-T1'!$BE$1-2018)*12,0)</f>
        <v>2630.0244275057548</v>
      </c>
      <c r="Q34" s="200">
        <f t="shared" ca="1" si="16"/>
        <v>2630.0244275057548</v>
      </c>
      <c r="S34" s="120"/>
      <c r="T34" s="120"/>
      <c r="U34" s="120"/>
      <c r="V34" s="120"/>
      <c r="W34" s="120"/>
      <c r="X34" s="120"/>
      <c r="Y34" s="120"/>
      <c r="Z34" s="115"/>
    </row>
    <row r="35" spans="1:26">
      <c r="B35" s="24" t="s">
        <v>15</v>
      </c>
      <c r="C35" s="199">
        <f t="shared" ca="1" si="9"/>
        <v>2981.1030761491711</v>
      </c>
      <c r="D35" s="228">
        <v>0</v>
      </c>
      <c r="E35" s="199">
        <f t="shared" ca="1" si="10"/>
        <v>2981.1030761491711</v>
      </c>
      <c r="F35" s="199">
        <f t="shared" ca="1" si="11"/>
        <v>2981.1030761491711</v>
      </c>
      <c r="G35" s="228">
        <f ca="1">OFFSET(mPeak_Data!$G27,('FE-T1'!$BE$1-2018)*12,0)</f>
        <v>2981.1030761491711</v>
      </c>
      <c r="H35" s="200">
        <f t="shared" ca="1" si="17"/>
        <v>2981.1030761491711</v>
      </c>
      <c r="I35" s="98"/>
      <c r="J35" s="98"/>
      <c r="K35" s="24" t="s">
        <v>15</v>
      </c>
      <c r="L35" s="199">
        <f t="shared" ca="1" si="12"/>
        <v>2981.1030761491706</v>
      </c>
      <c r="M35" s="228">
        <f t="shared" si="13"/>
        <v>0</v>
      </c>
      <c r="N35" s="199">
        <f t="shared" ca="1" si="14"/>
        <v>2981.1030761491706</v>
      </c>
      <c r="O35" s="199">
        <f t="shared" ca="1" si="15"/>
        <v>2981.1030761491706</v>
      </c>
      <c r="P35" s="228">
        <f ca="1">OFFSET(mPeak_Data!$B27,('FE-T1'!$BE$1-2018)*12,0)</f>
        <v>2981.1030761491706</v>
      </c>
      <c r="Q35" s="200">
        <f t="shared" ca="1" si="16"/>
        <v>2981.1030761491706</v>
      </c>
      <c r="S35" s="120"/>
      <c r="T35" s="120"/>
      <c r="U35" s="120"/>
      <c r="V35" s="120"/>
      <c r="W35" s="120"/>
      <c r="X35" s="120"/>
      <c r="Y35" s="120"/>
      <c r="Z35" s="115"/>
    </row>
    <row r="36" spans="1:26" ht="13.5" thickBot="1">
      <c r="B36" s="25" t="s">
        <v>16</v>
      </c>
      <c r="C36" s="201">
        <f t="shared" ca="1" si="9"/>
        <v>3220.7934744319891</v>
      </c>
      <c r="D36" s="234">
        <v>0</v>
      </c>
      <c r="E36" s="201">
        <f t="shared" ca="1" si="10"/>
        <v>3220.7934744319891</v>
      </c>
      <c r="F36" s="201">
        <f t="shared" ca="1" si="11"/>
        <v>3220.7934744319891</v>
      </c>
      <c r="G36" s="234">
        <f ca="1">OFFSET(mPeak_Data!$G28,('FE-T1'!$BE$1-2018)*12,0)</f>
        <v>3220.7934744319891</v>
      </c>
      <c r="H36" s="202">
        <f ca="1">G36</f>
        <v>3220.7934744319891</v>
      </c>
      <c r="I36" s="98"/>
      <c r="J36" s="98"/>
      <c r="K36" s="25" t="s">
        <v>16</v>
      </c>
      <c r="L36" s="201">
        <f t="shared" ca="1" si="12"/>
        <v>3220.7934744319887</v>
      </c>
      <c r="M36" s="234">
        <f t="shared" si="13"/>
        <v>0</v>
      </c>
      <c r="N36" s="201">
        <f t="shared" ca="1" si="14"/>
        <v>3220.7934744319887</v>
      </c>
      <c r="O36" s="201">
        <f t="shared" ca="1" si="15"/>
        <v>3220.7934744319887</v>
      </c>
      <c r="P36" s="234">
        <f ca="1">OFFSET(mPeak_Data!$B28,('FE-T1'!$BE$1-2018)*12,0)</f>
        <v>3220.7934744319887</v>
      </c>
      <c r="Q36" s="202">
        <f t="shared" ca="1" si="16"/>
        <v>3220.7934744319887</v>
      </c>
      <c r="S36" s="120"/>
      <c r="T36" s="120"/>
      <c r="U36" s="120"/>
      <c r="V36" s="120"/>
      <c r="W36" s="120"/>
      <c r="X36" s="120"/>
      <c r="Y36" s="120"/>
      <c r="Z36" s="115"/>
    </row>
    <row r="37" spans="1:26">
      <c r="B37" s="176"/>
      <c r="C37" s="216"/>
      <c r="D37" s="216"/>
      <c r="E37" s="216"/>
      <c r="F37" s="216"/>
      <c r="G37" s="216"/>
      <c r="H37" s="216"/>
      <c r="I37" s="98"/>
      <c r="J37" s="98"/>
      <c r="K37" s="176"/>
      <c r="L37" s="216"/>
      <c r="M37" s="216"/>
      <c r="N37" s="216"/>
      <c r="O37" s="216"/>
      <c r="P37" s="216"/>
      <c r="Q37" s="216"/>
      <c r="S37" s="120"/>
      <c r="T37" s="120"/>
      <c r="U37" s="120"/>
      <c r="V37" s="120"/>
      <c r="W37" s="120"/>
      <c r="X37" s="120"/>
      <c r="Y37" s="120"/>
      <c r="Z37" s="115"/>
    </row>
    <row r="38" spans="1:26">
      <c r="A38" s="119"/>
      <c r="B38" s="180" t="s">
        <v>49</v>
      </c>
      <c r="C38" s="180"/>
      <c r="D38" s="180"/>
      <c r="E38" s="180"/>
      <c r="F38" s="180"/>
      <c r="G38" s="180"/>
      <c r="H38" s="180"/>
      <c r="I38" s="119"/>
      <c r="K38" s="92" t="s">
        <v>49</v>
      </c>
      <c r="L38" s="92"/>
      <c r="M38" s="92"/>
      <c r="N38" s="92"/>
      <c r="O38" s="92"/>
      <c r="P38" s="92"/>
      <c r="Q38" s="92"/>
    </row>
    <row r="39" spans="1:26">
      <c r="B39" s="180" t="s">
        <v>50</v>
      </c>
      <c r="C39" s="180"/>
      <c r="D39" s="180"/>
      <c r="E39" s="180"/>
      <c r="F39" s="180"/>
      <c r="G39" s="180"/>
      <c r="H39" s="180"/>
      <c r="K39" s="92" t="s">
        <v>50</v>
      </c>
      <c r="L39" s="92"/>
      <c r="M39" s="92"/>
      <c r="N39" s="92"/>
      <c r="O39" s="92"/>
      <c r="P39" s="92"/>
      <c r="Q39" s="92"/>
      <c r="S39" s="77"/>
      <c r="T39" s="77"/>
      <c r="U39" s="77"/>
      <c r="V39" s="77"/>
      <c r="W39" s="77"/>
    </row>
    <row r="40" spans="1:26">
      <c r="B40" s="92" t="s">
        <v>51</v>
      </c>
      <c r="C40" s="92"/>
      <c r="D40" s="92"/>
      <c r="E40" s="92"/>
      <c r="F40" s="92"/>
      <c r="G40" s="92"/>
      <c r="H40" s="92"/>
      <c r="K40" s="92" t="s">
        <v>51</v>
      </c>
      <c r="L40" s="92"/>
      <c r="M40" s="92"/>
      <c r="N40" s="92"/>
      <c r="O40" s="92"/>
      <c r="P40" s="92"/>
      <c r="Q40" s="92"/>
      <c r="S40" s="77"/>
      <c r="T40" s="77"/>
      <c r="U40" s="77"/>
      <c r="V40" s="77"/>
      <c r="W40" s="77"/>
    </row>
    <row r="41" spans="1:26">
      <c r="B41" s="92" t="s">
        <v>98</v>
      </c>
      <c r="C41" s="92"/>
      <c r="D41" s="92"/>
      <c r="E41" s="92"/>
      <c r="F41" s="92"/>
      <c r="G41" s="92"/>
      <c r="H41" s="92"/>
      <c r="K41" s="92" t="s">
        <v>98</v>
      </c>
      <c r="L41" s="92"/>
      <c r="M41" s="92"/>
      <c r="N41" s="92"/>
      <c r="O41" s="92"/>
      <c r="P41" s="92"/>
      <c r="Q41" s="92"/>
      <c r="S41" s="77"/>
      <c r="T41" s="77"/>
      <c r="U41" s="77"/>
      <c r="V41" s="77"/>
      <c r="W41" s="77"/>
    </row>
    <row r="42" spans="1:26">
      <c r="B42" s="116"/>
      <c r="C42" s="92"/>
      <c r="D42" s="92"/>
      <c r="E42" s="92"/>
      <c r="F42" s="92"/>
      <c r="G42" s="92"/>
      <c r="H42" s="92"/>
      <c r="K42" s="92" t="s">
        <v>52</v>
      </c>
      <c r="L42" s="92"/>
      <c r="M42" s="92"/>
      <c r="N42" s="92"/>
      <c r="O42" s="92"/>
      <c r="P42" s="92"/>
      <c r="Q42" s="92"/>
      <c r="S42" s="77"/>
      <c r="T42" s="77"/>
      <c r="U42" s="77"/>
      <c r="V42" s="77"/>
      <c r="W42" s="77"/>
    </row>
    <row r="43" spans="1:26">
      <c r="B43" s="109"/>
      <c r="C43" s="117"/>
      <c r="D43" s="117"/>
      <c r="E43" s="117"/>
      <c r="F43" s="117"/>
      <c r="G43" s="117"/>
      <c r="H43" s="117"/>
      <c r="K43" s="111"/>
      <c r="L43" s="109"/>
      <c r="M43" s="118"/>
      <c r="N43" s="118"/>
      <c r="O43" s="118"/>
      <c r="P43" s="118"/>
      <c r="Q43" s="118"/>
      <c r="S43" s="77"/>
      <c r="T43" s="77"/>
      <c r="U43" s="77"/>
      <c r="V43" s="77"/>
      <c r="W43" s="77"/>
    </row>
    <row r="44" spans="1:26">
      <c r="B44" s="109"/>
      <c r="C44" s="117"/>
      <c r="D44" s="117"/>
      <c r="E44" s="117"/>
      <c r="F44" s="117"/>
      <c r="G44" s="117"/>
      <c r="H44" s="117"/>
      <c r="K44" s="109"/>
      <c r="L44" s="118"/>
      <c r="M44" s="118"/>
      <c r="N44" s="118"/>
      <c r="O44" s="118"/>
      <c r="P44" s="118"/>
      <c r="Q44" s="118"/>
      <c r="S44" s="77"/>
      <c r="T44" s="77"/>
      <c r="U44" s="77"/>
      <c r="V44" s="77"/>
      <c r="W44" s="77"/>
    </row>
    <row r="45" spans="1:26">
      <c r="K45" s="109"/>
      <c r="L45" s="118"/>
      <c r="M45" s="118"/>
      <c r="N45" s="118"/>
      <c r="O45" s="118"/>
      <c r="P45" s="118"/>
      <c r="Q45" s="118"/>
      <c r="S45" s="77"/>
      <c r="T45" s="77"/>
      <c r="U45" s="77"/>
      <c r="V45" s="77"/>
      <c r="W45" s="77"/>
    </row>
    <row r="46" spans="1:26">
      <c r="L46" s="119"/>
      <c r="M46" s="118"/>
      <c r="N46" s="118"/>
      <c r="O46" s="118"/>
      <c r="P46" s="118"/>
      <c r="Q46" s="118"/>
      <c r="S46" s="77"/>
      <c r="T46" s="77"/>
      <c r="U46" s="77"/>
      <c r="V46" s="77"/>
      <c r="W46" s="77"/>
    </row>
    <row r="47" spans="1:26">
      <c r="S47" s="77"/>
      <c r="T47" s="77"/>
      <c r="U47" s="77"/>
      <c r="V47" s="77"/>
      <c r="W47" s="77"/>
    </row>
    <row r="48" spans="1:26">
      <c r="S48" s="77"/>
      <c r="T48" s="77"/>
      <c r="U48" s="77"/>
      <c r="V48" s="77"/>
      <c r="W48" s="77"/>
    </row>
    <row r="49" spans="19:23">
      <c r="S49" s="77"/>
      <c r="T49" s="77"/>
      <c r="U49" s="77"/>
      <c r="V49" s="77"/>
      <c r="W49" s="77"/>
    </row>
    <row r="50" spans="19:23">
      <c r="S50" s="77"/>
      <c r="T50" s="77"/>
      <c r="U50" s="77"/>
      <c r="V50" s="77"/>
      <c r="W50" s="77"/>
    </row>
    <row r="51" spans="19:23">
      <c r="T51" s="77"/>
    </row>
    <row r="52" spans="19:23">
      <c r="T52" s="77"/>
    </row>
    <row r="53" spans="19:23">
      <c r="T53" s="77"/>
    </row>
    <row r="54" spans="19:23">
      <c r="S54" s="77"/>
      <c r="T54" s="77"/>
      <c r="U54" s="77"/>
      <c r="V54" s="77"/>
    </row>
    <row r="55" spans="19:23">
      <c r="S55" s="77"/>
      <c r="T55" s="77"/>
      <c r="U55" s="77"/>
      <c r="V55" s="77"/>
    </row>
    <row r="56" spans="19:23">
      <c r="S56" s="77"/>
      <c r="T56" s="77"/>
      <c r="U56" s="77"/>
      <c r="V56" s="77"/>
    </row>
    <row r="57" spans="19:23">
      <c r="S57" s="77"/>
      <c r="T57" s="77"/>
      <c r="U57" s="77"/>
      <c r="V57" s="77"/>
    </row>
    <row r="58" spans="19:23">
      <c r="S58" s="77"/>
      <c r="T58" s="77"/>
      <c r="U58" s="77"/>
      <c r="V58" s="77"/>
    </row>
    <row r="59" spans="19:23">
      <c r="S59" s="77"/>
      <c r="T59" s="77"/>
      <c r="U59" s="77"/>
      <c r="V59" s="77"/>
    </row>
    <row r="60" spans="19:23">
      <c r="S60" s="77"/>
      <c r="T60" s="77"/>
      <c r="U60" s="77"/>
      <c r="V60" s="77"/>
    </row>
    <row r="61" spans="19:23">
      <c r="S61" s="77"/>
      <c r="T61" s="77"/>
      <c r="U61" s="77"/>
      <c r="V61" s="77"/>
    </row>
    <row r="62" spans="19:23">
      <c r="S62" s="77"/>
      <c r="T62" s="77"/>
      <c r="U62" s="77"/>
      <c r="V62" s="77"/>
    </row>
    <row r="63" spans="19:23">
      <c r="S63" s="77"/>
      <c r="T63" s="77"/>
      <c r="U63" s="77"/>
      <c r="V63" s="77"/>
    </row>
    <row r="64" spans="19:23">
      <c r="S64" s="77"/>
      <c r="T64" s="77"/>
      <c r="U64" s="77"/>
      <c r="V64" s="77"/>
    </row>
    <row r="65" spans="19:22">
      <c r="S65" s="77"/>
      <c r="T65" s="77"/>
      <c r="U65" s="77"/>
      <c r="V65" s="77"/>
    </row>
    <row r="66" spans="19:22">
      <c r="T66" s="77"/>
    </row>
    <row r="67" spans="19:22">
      <c r="T67" s="77"/>
    </row>
    <row r="68" spans="19:22">
      <c r="T68" s="77"/>
    </row>
  </sheetData>
  <mergeCells count="10">
    <mergeCell ref="C7:F7"/>
    <mergeCell ref="G7:H7"/>
    <mergeCell ref="L7:O7"/>
    <mergeCell ref="P7:Q7"/>
    <mergeCell ref="B3:H3"/>
    <mergeCell ref="K3:Q3"/>
    <mergeCell ref="B5:H5"/>
    <mergeCell ref="K5:Q5"/>
    <mergeCell ref="B6:H6"/>
    <mergeCell ref="K6:Q6"/>
  </mergeCells>
  <pageMargins left="0.7" right="0.7" top="0.75" bottom="0.75" header="0.3" footer="0.3"/>
  <pageSetup scale="44" orientation="landscape" horizontalDpi="300" verticalDpi="300" r:id="rId1"/>
  <headerFooter>
    <oddHeader xml:space="preserve">&amp;R&amp;"Times New Roman,Bold"PUCO Case No. 24-503-EL-FOR
Source Files
Work Tables
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416"/>
  <sheetViews>
    <sheetView view="pageLayout" zoomScaleNormal="100" workbookViewId="0">
      <selection activeCell="J10" sqref="J10"/>
    </sheetView>
  </sheetViews>
  <sheetFormatPr defaultRowHeight="12.75"/>
  <cols>
    <col min="1" max="1" width="10.5703125" style="236" bestFit="1" customWidth="1"/>
    <col min="2" max="2" width="14.7109375" bestFit="1" customWidth="1"/>
    <col min="3" max="3" width="17.7109375" bestFit="1" customWidth="1"/>
    <col min="4" max="4" width="14.85546875" bestFit="1" customWidth="1"/>
    <col min="5" max="6" width="13.5703125" bestFit="1" customWidth="1"/>
    <col min="7" max="7" width="14" bestFit="1" customWidth="1"/>
    <col min="8" max="8" width="13.140625" bestFit="1" customWidth="1"/>
    <col min="257" max="257" width="10.5703125" bestFit="1" customWidth="1"/>
    <col min="513" max="513" width="10.5703125" bestFit="1" customWidth="1"/>
    <col min="769" max="769" width="10.5703125" bestFit="1" customWidth="1"/>
    <col min="1025" max="1025" width="10.5703125" bestFit="1" customWidth="1"/>
    <col min="1281" max="1281" width="10.5703125" bestFit="1" customWidth="1"/>
    <col min="1537" max="1537" width="10.5703125" bestFit="1" customWidth="1"/>
    <col min="1793" max="1793" width="10.5703125" bestFit="1" customWidth="1"/>
    <col min="2049" max="2049" width="10.5703125" bestFit="1" customWidth="1"/>
    <col min="2305" max="2305" width="10.5703125" bestFit="1" customWidth="1"/>
    <col min="2561" max="2561" width="10.5703125" bestFit="1" customWidth="1"/>
    <col min="2817" max="2817" width="10.5703125" bestFit="1" customWidth="1"/>
    <col min="3073" max="3073" width="10.5703125" bestFit="1" customWidth="1"/>
    <col min="3329" max="3329" width="10.5703125" bestFit="1" customWidth="1"/>
    <col min="3585" max="3585" width="10.5703125" bestFit="1" customWidth="1"/>
    <col min="3841" max="3841" width="10.5703125" bestFit="1" customWidth="1"/>
    <col min="4097" max="4097" width="10.5703125" bestFit="1" customWidth="1"/>
    <col min="4353" max="4353" width="10.5703125" bestFit="1" customWidth="1"/>
    <col min="4609" max="4609" width="10.5703125" bestFit="1" customWidth="1"/>
    <col min="4865" max="4865" width="10.5703125" bestFit="1" customWidth="1"/>
    <col min="5121" max="5121" width="10.5703125" bestFit="1" customWidth="1"/>
    <col min="5377" max="5377" width="10.5703125" bestFit="1" customWidth="1"/>
    <col min="5633" max="5633" width="10.5703125" bestFit="1" customWidth="1"/>
    <col min="5889" max="5889" width="10.5703125" bestFit="1" customWidth="1"/>
    <col min="6145" max="6145" width="10.5703125" bestFit="1" customWidth="1"/>
    <col min="6401" max="6401" width="10.5703125" bestFit="1" customWidth="1"/>
    <col min="6657" max="6657" width="10.5703125" bestFit="1" customWidth="1"/>
    <col min="6913" max="6913" width="10.5703125" bestFit="1" customWidth="1"/>
    <col min="7169" max="7169" width="10.5703125" bestFit="1" customWidth="1"/>
    <col min="7425" max="7425" width="10.5703125" bestFit="1" customWidth="1"/>
    <col min="7681" max="7681" width="10.5703125" bestFit="1" customWidth="1"/>
    <col min="7937" max="7937" width="10.5703125" bestFit="1" customWidth="1"/>
    <col min="8193" max="8193" width="10.5703125" bestFit="1" customWidth="1"/>
    <col min="8449" max="8449" width="10.5703125" bestFit="1" customWidth="1"/>
    <col min="8705" max="8705" width="10.5703125" bestFit="1" customWidth="1"/>
    <col min="8961" max="8961" width="10.5703125" bestFit="1" customWidth="1"/>
    <col min="9217" max="9217" width="10.5703125" bestFit="1" customWidth="1"/>
    <col min="9473" max="9473" width="10.5703125" bestFit="1" customWidth="1"/>
    <col min="9729" max="9729" width="10.5703125" bestFit="1" customWidth="1"/>
    <col min="9985" max="9985" width="10.5703125" bestFit="1" customWidth="1"/>
    <col min="10241" max="10241" width="10.5703125" bestFit="1" customWidth="1"/>
    <col min="10497" max="10497" width="10.5703125" bestFit="1" customWidth="1"/>
    <col min="10753" max="10753" width="10.5703125" bestFit="1" customWidth="1"/>
    <col min="11009" max="11009" width="10.5703125" bestFit="1" customWidth="1"/>
    <col min="11265" max="11265" width="10.5703125" bestFit="1" customWidth="1"/>
    <col min="11521" max="11521" width="10.5703125" bestFit="1" customWidth="1"/>
    <col min="11777" max="11777" width="10.5703125" bestFit="1" customWidth="1"/>
    <col min="12033" max="12033" width="10.5703125" bestFit="1" customWidth="1"/>
    <col min="12289" max="12289" width="10.5703125" bestFit="1" customWidth="1"/>
    <col min="12545" max="12545" width="10.5703125" bestFit="1" customWidth="1"/>
    <col min="12801" max="12801" width="10.5703125" bestFit="1" customWidth="1"/>
    <col min="13057" max="13057" width="10.5703125" bestFit="1" customWidth="1"/>
    <col min="13313" max="13313" width="10.5703125" bestFit="1" customWidth="1"/>
    <col min="13569" max="13569" width="10.5703125" bestFit="1" customWidth="1"/>
    <col min="13825" max="13825" width="10.5703125" bestFit="1" customWidth="1"/>
    <col min="14081" max="14081" width="10.5703125" bestFit="1" customWidth="1"/>
    <col min="14337" max="14337" width="10.5703125" bestFit="1" customWidth="1"/>
    <col min="14593" max="14593" width="10.5703125" bestFit="1" customWidth="1"/>
    <col min="14849" max="14849" width="10.5703125" bestFit="1" customWidth="1"/>
    <col min="15105" max="15105" width="10.5703125" bestFit="1" customWidth="1"/>
    <col min="15361" max="15361" width="10.5703125" bestFit="1" customWidth="1"/>
    <col min="15617" max="15617" width="10.5703125" bestFit="1" customWidth="1"/>
    <col min="15873" max="15873" width="10.5703125" bestFit="1" customWidth="1"/>
    <col min="16129" max="16129" width="10.5703125" bestFit="1" customWidth="1"/>
  </cols>
  <sheetData>
    <row r="1" spans="1:8">
      <c r="A1" t="s">
        <v>212</v>
      </c>
      <c r="B1" t="s">
        <v>213</v>
      </c>
      <c r="C1" t="s">
        <v>214</v>
      </c>
      <c r="D1" t="s">
        <v>215</v>
      </c>
      <c r="E1" t="s">
        <v>216</v>
      </c>
      <c r="F1" t="s">
        <v>217</v>
      </c>
      <c r="G1" t="s">
        <v>218</v>
      </c>
      <c r="H1" t="s">
        <v>210</v>
      </c>
    </row>
    <row r="2" spans="1:8" hidden="1">
      <c r="B2" s="243"/>
      <c r="C2" s="244"/>
      <c r="D2" s="243"/>
      <c r="E2" s="75"/>
      <c r="F2" s="75"/>
      <c r="G2" s="75"/>
      <c r="H2" s="56"/>
    </row>
    <row r="3" spans="1:8" hidden="1">
      <c r="B3" s="243"/>
      <c r="C3" s="244"/>
      <c r="D3" s="243"/>
      <c r="E3" s="75"/>
      <c r="F3" s="75"/>
      <c r="G3" s="75"/>
      <c r="H3" s="56"/>
    </row>
    <row r="4" spans="1:8" hidden="1">
      <c r="B4" s="243"/>
      <c r="C4" s="244"/>
      <c r="D4" s="243"/>
      <c r="E4" s="75"/>
      <c r="F4" s="75"/>
      <c r="G4" s="75"/>
      <c r="H4" s="56"/>
    </row>
    <row r="5" spans="1:8" hidden="1">
      <c r="B5" s="243"/>
      <c r="C5" s="244"/>
      <c r="D5" s="243"/>
      <c r="E5" s="75"/>
      <c r="F5" s="75"/>
      <c r="G5" s="75"/>
      <c r="H5" s="56"/>
    </row>
    <row r="6" spans="1:8" hidden="1">
      <c r="B6" s="243"/>
      <c r="C6" s="244"/>
      <c r="D6" s="243"/>
      <c r="E6" s="75"/>
      <c r="F6" s="75"/>
      <c r="G6" s="75"/>
      <c r="H6" s="56"/>
    </row>
    <row r="7" spans="1:8" hidden="1">
      <c r="B7" s="243"/>
      <c r="C7" s="244"/>
      <c r="D7" s="243"/>
      <c r="E7" s="75"/>
      <c r="F7" s="75"/>
      <c r="G7" s="75"/>
      <c r="H7" s="56"/>
    </row>
    <row r="8" spans="1:8" hidden="1">
      <c r="B8" s="243"/>
      <c r="C8" s="244"/>
      <c r="D8" s="243"/>
      <c r="E8" s="75"/>
      <c r="F8" s="75"/>
      <c r="G8" s="75"/>
      <c r="H8" s="56"/>
    </row>
    <row r="9" spans="1:8" hidden="1">
      <c r="B9" s="243"/>
      <c r="C9" s="244"/>
      <c r="D9" s="243"/>
      <c r="E9" s="75"/>
      <c r="F9" s="75"/>
      <c r="G9" s="75"/>
      <c r="H9" s="56"/>
    </row>
    <row r="10" spans="1:8" hidden="1">
      <c r="B10" s="243"/>
      <c r="C10" s="244"/>
      <c r="D10" s="243"/>
      <c r="E10" s="75"/>
      <c r="F10" s="75"/>
      <c r="G10" s="75"/>
      <c r="H10" s="56"/>
    </row>
    <row r="11" spans="1:8" hidden="1">
      <c r="B11" s="243"/>
      <c r="C11" s="244"/>
      <c r="D11" s="243"/>
      <c r="E11" s="75"/>
      <c r="F11" s="75"/>
      <c r="G11" s="75"/>
      <c r="H11" s="56"/>
    </row>
    <row r="12" spans="1:8" hidden="1">
      <c r="B12" s="243"/>
      <c r="C12" s="244"/>
      <c r="D12" s="243"/>
      <c r="E12" s="75"/>
      <c r="F12" s="75"/>
      <c r="G12" s="75"/>
      <c r="H12" s="56"/>
    </row>
    <row r="13" spans="1:8" hidden="1">
      <c r="B13" s="243"/>
      <c r="C13" s="244"/>
      <c r="D13" s="243"/>
      <c r="E13" s="75"/>
      <c r="F13" s="75"/>
      <c r="G13" s="75"/>
      <c r="H13" s="56"/>
    </row>
    <row r="14" spans="1:8" hidden="1">
      <c r="B14" s="243"/>
      <c r="C14" s="244"/>
      <c r="D14" s="243"/>
      <c r="E14" s="75"/>
      <c r="F14" s="75"/>
      <c r="G14" s="75"/>
      <c r="H14" s="56"/>
    </row>
    <row r="15" spans="1:8" hidden="1">
      <c r="B15" s="243"/>
      <c r="C15" s="244"/>
      <c r="D15" s="243"/>
      <c r="E15" s="75"/>
      <c r="F15" s="75"/>
      <c r="G15" s="75"/>
      <c r="H15" s="56"/>
    </row>
    <row r="16" spans="1:8" hidden="1">
      <c r="B16" s="243"/>
      <c r="C16" s="244"/>
      <c r="D16" s="243"/>
      <c r="E16" s="75"/>
      <c r="F16" s="75"/>
      <c r="G16" s="75"/>
      <c r="H16" s="56"/>
    </row>
    <row r="17" spans="2:8" hidden="1">
      <c r="B17" s="243"/>
      <c r="C17" s="244"/>
      <c r="D17" s="243"/>
      <c r="E17" s="75"/>
      <c r="F17" s="75"/>
      <c r="G17" s="75"/>
      <c r="H17" s="56"/>
    </row>
    <row r="18" spans="2:8" hidden="1">
      <c r="B18" s="243"/>
      <c r="C18" s="244"/>
      <c r="D18" s="243"/>
      <c r="E18" s="75"/>
      <c r="F18" s="75"/>
      <c r="G18" s="75"/>
      <c r="H18" s="56"/>
    </row>
    <row r="19" spans="2:8" hidden="1">
      <c r="B19" s="243"/>
      <c r="C19" s="244"/>
      <c r="D19" s="243"/>
      <c r="E19" s="75"/>
      <c r="F19" s="75"/>
      <c r="G19" s="75"/>
      <c r="H19" s="56"/>
    </row>
    <row r="20" spans="2:8" hidden="1">
      <c r="B20" s="243"/>
      <c r="C20" s="244"/>
      <c r="D20" s="243"/>
      <c r="E20" s="75"/>
      <c r="F20" s="75"/>
      <c r="G20" s="75"/>
      <c r="H20" s="56"/>
    </row>
    <row r="21" spans="2:8" hidden="1">
      <c r="B21" s="243"/>
      <c r="C21" s="244"/>
      <c r="D21" s="243"/>
      <c r="E21" s="75"/>
      <c r="F21" s="75"/>
      <c r="G21" s="75"/>
      <c r="H21" s="56"/>
    </row>
    <row r="22" spans="2:8" hidden="1">
      <c r="B22" s="243"/>
      <c r="C22" s="244"/>
      <c r="D22" s="243"/>
      <c r="E22" s="75"/>
      <c r="F22" s="75"/>
      <c r="G22" s="75"/>
      <c r="H22" s="56"/>
    </row>
    <row r="23" spans="2:8" hidden="1">
      <c r="B23" s="243"/>
      <c r="C23" s="244"/>
      <c r="D23" s="243"/>
      <c r="E23" s="75"/>
      <c r="F23" s="75"/>
      <c r="G23" s="75"/>
      <c r="H23" s="56"/>
    </row>
    <row r="24" spans="2:8" hidden="1">
      <c r="B24" s="243"/>
      <c r="C24" s="244"/>
      <c r="D24" s="243"/>
      <c r="E24" s="75"/>
      <c r="F24" s="75"/>
      <c r="G24" s="75"/>
      <c r="H24" s="56"/>
    </row>
    <row r="25" spans="2:8" hidden="1">
      <c r="B25" s="243"/>
      <c r="C25" s="244"/>
      <c r="D25" s="243"/>
      <c r="E25" s="75"/>
      <c r="F25" s="75"/>
      <c r="G25" s="75"/>
      <c r="H25" s="56"/>
    </row>
    <row r="26" spans="2:8" hidden="1">
      <c r="B26" s="243"/>
      <c r="C26" s="244"/>
      <c r="D26" s="243"/>
      <c r="E26" s="75"/>
      <c r="F26" s="75"/>
      <c r="G26" s="75"/>
      <c r="H26" s="56"/>
    </row>
    <row r="27" spans="2:8" hidden="1">
      <c r="B27" s="243"/>
      <c r="C27" s="244"/>
      <c r="D27" s="243"/>
      <c r="E27" s="75"/>
      <c r="F27" s="75"/>
      <c r="G27" s="75"/>
      <c r="H27" s="56"/>
    </row>
    <row r="28" spans="2:8" hidden="1">
      <c r="B28" s="243"/>
      <c r="C28" s="244"/>
      <c r="D28" s="243"/>
      <c r="E28" s="75"/>
      <c r="F28" s="75"/>
      <c r="G28" s="75"/>
      <c r="H28" s="56"/>
    </row>
    <row r="29" spans="2:8" hidden="1">
      <c r="B29" s="243"/>
      <c r="C29" s="244"/>
      <c r="D29" s="243"/>
      <c r="E29" s="75"/>
      <c r="F29" s="75"/>
      <c r="G29" s="75"/>
      <c r="H29" s="56"/>
    </row>
    <row r="30" spans="2:8" hidden="1">
      <c r="B30" s="243"/>
      <c r="C30" s="244"/>
      <c r="D30" s="243"/>
      <c r="E30" s="75"/>
      <c r="F30" s="75"/>
      <c r="G30" s="75"/>
      <c r="H30" s="56"/>
    </row>
    <row r="31" spans="2:8" hidden="1">
      <c r="B31" s="243"/>
      <c r="C31" s="244"/>
      <c r="D31" s="243"/>
      <c r="E31" s="75"/>
      <c r="F31" s="75"/>
      <c r="G31" s="75"/>
      <c r="H31" s="56"/>
    </row>
    <row r="32" spans="2:8" hidden="1">
      <c r="B32" s="243"/>
      <c r="C32" s="244"/>
      <c r="D32" s="243"/>
      <c r="E32" s="75"/>
      <c r="F32" s="75"/>
      <c r="G32" s="75"/>
      <c r="H32" s="56"/>
    </row>
    <row r="33" spans="2:8" hidden="1">
      <c r="B33" s="243"/>
      <c r="C33" s="244"/>
      <c r="D33" s="243"/>
      <c r="E33" s="75"/>
      <c r="F33" s="75"/>
      <c r="G33" s="75"/>
      <c r="H33" s="56"/>
    </row>
    <row r="34" spans="2:8" hidden="1">
      <c r="B34" s="243"/>
      <c r="C34" s="244"/>
      <c r="D34" s="243"/>
      <c r="E34" s="75"/>
      <c r="F34" s="75"/>
      <c r="G34" s="75"/>
      <c r="H34" s="56"/>
    </row>
    <row r="35" spans="2:8" hidden="1">
      <c r="B35" s="243"/>
      <c r="C35" s="244"/>
      <c r="D35" s="243"/>
      <c r="E35" s="75"/>
      <c r="F35" s="75"/>
      <c r="G35" s="75"/>
      <c r="H35" s="56"/>
    </row>
    <row r="36" spans="2:8" hidden="1">
      <c r="B36" s="243"/>
      <c r="C36" s="244"/>
      <c r="D36" s="243"/>
      <c r="E36" s="75"/>
      <c r="F36" s="75"/>
      <c r="G36" s="75"/>
      <c r="H36" s="56"/>
    </row>
    <row r="37" spans="2:8" hidden="1">
      <c r="B37" s="243"/>
      <c r="C37" s="244"/>
      <c r="D37" s="243"/>
      <c r="E37" s="75"/>
      <c r="F37" s="75"/>
      <c r="G37" s="75"/>
      <c r="H37" s="56"/>
    </row>
    <row r="38" spans="2:8" hidden="1">
      <c r="B38" s="243"/>
      <c r="C38" s="244"/>
      <c r="D38" s="243"/>
      <c r="E38" s="75"/>
      <c r="F38" s="75"/>
      <c r="G38" s="75"/>
      <c r="H38" s="56"/>
    </row>
    <row r="39" spans="2:8" hidden="1">
      <c r="B39" s="243"/>
      <c r="C39" s="244"/>
      <c r="D39" s="243"/>
      <c r="E39" s="75"/>
      <c r="F39" s="75"/>
      <c r="G39" s="75"/>
      <c r="H39" s="56"/>
    </row>
    <row r="40" spans="2:8" hidden="1">
      <c r="B40" s="243"/>
      <c r="C40" s="244"/>
      <c r="D40" s="243"/>
      <c r="E40" s="75"/>
      <c r="F40" s="75"/>
      <c r="G40" s="75"/>
      <c r="H40" s="56"/>
    </row>
    <row r="41" spans="2:8" hidden="1">
      <c r="B41" s="243"/>
      <c r="C41" s="244"/>
      <c r="D41" s="243"/>
      <c r="E41" s="75"/>
      <c r="F41" s="75"/>
      <c r="G41" s="75"/>
      <c r="H41" s="56"/>
    </row>
    <row r="42" spans="2:8" hidden="1">
      <c r="B42" s="243"/>
      <c r="C42" s="244"/>
      <c r="D42" s="243"/>
      <c r="E42" s="75"/>
      <c r="F42" s="75"/>
      <c r="G42" s="75"/>
      <c r="H42" s="56"/>
    </row>
    <row r="43" spans="2:8" hidden="1">
      <c r="B43" s="243"/>
      <c r="C43" s="244"/>
      <c r="D43" s="243"/>
      <c r="E43" s="75"/>
      <c r="F43" s="75"/>
      <c r="G43" s="75"/>
      <c r="H43" s="56"/>
    </row>
    <row r="44" spans="2:8" hidden="1">
      <c r="B44" s="243"/>
      <c r="C44" s="244"/>
      <c r="D44" s="243"/>
      <c r="E44" s="75"/>
      <c r="F44" s="75"/>
      <c r="G44" s="75"/>
      <c r="H44" s="56"/>
    </row>
    <row r="45" spans="2:8" hidden="1">
      <c r="B45" s="243"/>
      <c r="C45" s="244"/>
      <c r="D45" s="243"/>
      <c r="E45" s="75"/>
      <c r="F45" s="75"/>
      <c r="G45" s="75"/>
      <c r="H45" s="56"/>
    </row>
    <row r="46" spans="2:8" hidden="1">
      <c r="B46" s="243"/>
      <c r="C46" s="244"/>
      <c r="D46" s="243"/>
      <c r="E46" s="75"/>
      <c r="F46" s="75"/>
      <c r="G46" s="75"/>
      <c r="H46" s="56"/>
    </row>
    <row r="47" spans="2:8" hidden="1">
      <c r="B47" s="243"/>
      <c r="C47" s="244"/>
      <c r="D47" s="243"/>
      <c r="E47" s="75"/>
      <c r="F47" s="75"/>
      <c r="G47" s="75"/>
      <c r="H47" s="56"/>
    </row>
    <row r="48" spans="2:8" hidden="1">
      <c r="B48" s="243"/>
      <c r="C48" s="244"/>
      <c r="D48" s="243"/>
      <c r="E48" s="75"/>
      <c r="F48" s="75"/>
      <c r="G48" s="75"/>
      <c r="H48" s="56"/>
    </row>
    <row r="49" spans="1:8" hidden="1">
      <c r="B49" s="243"/>
      <c r="C49" s="244"/>
      <c r="D49" s="243"/>
      <c r="E49" s="75"/>
      <c r="F49" s="75"/>
      <c r="G49" s="75"/>
      <c r="H49" s="56"/>
    </row>
    <row r="50" spans="1:8" hidden="1">
      <c r="B50" s="243"/>
      <c r="C50" s="244"/>
      <c r="D50" s="243"/>
      <c r="E50" s="75"/>
      <c r="F50" s="75"/>
      <c r="G50" s="75"/>
      <c r="H50" s="56"/>
    </row>
    <row r="51" spans="1:8" hidden="1">
      <c r="B51" s="243"/>
      <c r="C51" s="244"/>
      <c r="D51" s="243"/>
      <c r="E51" s="75"/>
      <c r="F51" s="75"/>
      <c r="G51" s="75"/>
      <c r="H51" s="56"/>
    </row>
    <row r="52" spans="1:8" hidden="1">
      <c r="A52" s="243" t="s">
        <v>212</v>
      </c>
      <c r="B52" s="243" t="s">
        <v>213</v>
      </c>
      <c r="C52" s="244" t="s">
        <v>214</v>
      </c>
      <c r="D52" s="243" t="s">
        <v>215</v>
      </c>
      <c r="E52" s="75" t="s">
        <v>216</v>
      </c>
      <c r="F52" s="75" t="s">
        <v>217</v>
      </c>
      <c r="G52" s="75" t="s">
        <v>218</v>
      </c>
      <c r="H52" s="56"/>
    </row>
    <row r="53" spans="1:8">
      <c r="A53" s="236">
        <v>44562</v>
      </c>
      <c r="B53" s="243">
        <v>0</v>
      </c>
      <c r="C53" s="244">
        <v>0</v>
      </c>
      <c r="D53" s="243">
        <v>0</v>
      </c>
      <c r="E53" s="75">
        <v>0</v>
      </c>
      <c r="F53" s="75">
        <v>0</v>
      </c>
      <c r="G53" s="75">
        <v>0</v>
      </c>
      <c r="H53" s="56" t="str">
        <f t="shared" ref="H53:H65" si="0">IF(MONTH(A53)=7,B53-G53,"")</f>
        <v/>
      </c>
    </row>
    <row r="54" spans="1:8">
      <c r="A54" s="236">
        <v>44593</v>
      </c>
      <c r="B54" s="243">
        <v>0</v>
      </c>
      <c r="C54" s="244">
        <v>0</v>
      </c>
      <c r="D54" s="243">
        <v>0</v>
      </c>
      <c r="E54" s="75">
        <v>0</v>
      </c>
      <c r="F54" s="75">
        <v>0</v>
      </c>
      <c r="G54" s="75">
        <v>0</v>
      </c>
      <c r="H54" s="56" t="str">
        <f t="shared" si="0"/>
        <v/>
      </c>
    </row>
    <row r="55" spans="1:8">
      <c r="A55" s="236">
        <v>44621</v>
      </c>
      <c r="B55" s="243">
        <v>0</v>
      </c>
      <c r="C55" s="244">
        <v>0</v>
      </c>
      <c r="D55" s="243">
        <v>0</v>
      </c>
      <c r="E55" s="75">
        <v>0</v>
      </c>
      <c r="F55" s="75">
        <v>0</v>
      </c>
      <c r="G55" s="75">
        <v>0</v>
      </c>
      <c r="H55" s="56" t="str">
        <f t="shared" si="0"/>
        <v/>
      </c>
    </row>
    <row r="56" spans="1:8">
      <c r="A56" s="236">
        <v>44652</v>
      </c>
      <c r="B56" s="243">
        <v>0</v>
      </c>
      <c r="C56" s="244">
        <v>0</v>
      </c>
      <c r="D56" s="243">
        <v>0</v>
      </c>
      <c r="E56" s="75">
        <v>0</v>
      </c>
      <c r="F56" s="75">
        <v>0</v>
      </c>
      <c r="G56" s="75">
        <v>0</v>
      </c>
      <c r="H56" s="56" t="str">
        <f t="shared" si="0"/>
        <v/>
      </c>
    </row>
    <row r="57" spans="1:8">
      <c r="A57" s="236">
        <v>44682</v>
      </c>
      <c r="B57" s="243">
        <v>0</v>
      </c>
      <c r="C57" s="244">
        <v>0</v>
      </c>
      <c r="D57" s="243">
        <v>0</v>
      </c>
      <c r="E57" s="75">
        <v>0</v>
      </c>
      <c r="F57" s="75">
        <v>0</v>
      </c>
      <c r="G57" s="75">
        <v>0</v>
      </c>
      <c r="H57" s="56" t="str">
        <f t="shared" si="0"/>
        <v/>
      </c>
    </row>
    <row r="58" spans="1:8">
      <c r="A58" s="236">
        <v>44713</v>
      </c>
      <c r="B58" s="243">
        <v>0</v>
      </c>
      <c r="C58" s="244">
        <v>0</v>
      </c>
      <c r="D58" s="243">
        <v>0</v>
      </c>
      <c r="E58" s="75">
        <v>0</v>
      </c>
      <c r="F58" s="75">
        <v>0</v>
      </c>
      <c r="G58" s="75">
        <v>0</v>
      </c>
      <c r="H58" s="56" t="str">
        <f t="shared" si="0"/>
        <v/>
      </c>
    </row>
    <row r="59" spans="1:8">
      <c r="A59" s="236">
        <v>44743</v>
      </c>
      <c r="B59" s="243">
        <v>0</v>
      </c>
      <c r="C59" s="244">
        <v>0</v>
      </c>
      <c r="D59" s="243">
        <v>0</v>
      </c>
      <c r="E59" s="75">
        <v>0</v>
      </c>
      <c r="F59" s="75">
        <v>0</v>
      </c>
      <c r="G59" s="75">
        <v>0</v>
      </c>
      <c r="H59" s="56">
        <f t="shared" si="0"/>
        <v>0</v>
      </c>
    </row>
    <row r="60" spans="1:8">
      <c r="A60" s="236">
        <v>44774</v>
      </c>
      <c r="B60" s="243">
        <v>0</v>
      </c>
      <c r="C60" s="244">
        <v>0</v>
      </c>
      <c r="D60" s="243">
        <v>0</v>
      </c>
      <c r="E60" s="75">
        <v>0</v>
      </c>
      <c r="F60" s="75">
        <v>0</v>
      </c>
      <c r="G60" s="75">
        <v>0</v>
      </c>
      <c r="H60" s="56" t="str">
        <f t="shared" si="0"/>
        <v/>
      </c>
    </row>
    <row r="61" spans="1:8">
      <c r="A61" s="236">
        <v>44805</v>
      </c>
      <c r="B61" s="243">
        <v>0</v>
      </c>
      <c r="C61" s="244">
        <v>0</v>
      </c>
      <c r="D61" s="243">
        <v>0</v>
      </c>
      <c r="E61" s="75">
        <v>0</v>
      </c>
      <c r="F61" s="75">
        <v>0</v>
      </c>
      <c r="G61" s="75">
        <v>0</v>
      </c>
      <c r="H61" s="56" t="str">
        <f t="shared" si="0"/>
        <v/>
      </c>
    </row>
    <row r="62" spans="1:8">
      <c r="A62" s="236">
        <v>44835</v>
      </c>
      <c r="B62" s="243">
        <v>0</v>
      </c>
      <c r="C62" s="244">
        <v>0</v>
      </c>
      <c r="D62" s="243">
        <v>0</v>
      </c>
      <c r="E62" s="75">
        <v>0</v>
      </c>
      <c r="F62" s="75">
        <v>0</v>
      </c>
      <c r="G62" s="75">
        <v>0</v>
      </c>
      <c r="H62" s="56" t="str">
        <f t="shared" si="0"/>
        <v/>
      </c>
    </row>
    <row r="63" spans="1:8">
      <c r="A63" s="236">
        <v>44866</v>
      </c>
      <c r="B63" s="243">
        <v>0</v>
      </c>
      <c r="C63" s="244">
        <v>0</v>
      </c>
      <c r="D63" s="243">
        <v>0</v>
      </c>
      <c r="E63" s="75">
        <v>0</v>
      </c>
      <c r="F63" s="75">
        <v>0</v>
      </c>
      <c r="G63" s="75">
        <v>0</v>
      </c>
      <c r="H63" s="56" t="str">
        <f t="shared" si="0"/>
        <v/>
      </c>
    </row>
    <row r="64" spans="1:8">
      <c r="A64" s="236">
        <v>44896</v>
      </c>
      <c r="B64" s="299">
        <v>0</v>
      </c>
      <c r="C64" s="244">
        <v>0</v>
      </c>
      <c r="D64" s="243">
        <v>0</v>
      </c>
      <c r="E64" s="75">
        <v>0</v>
      </c>
      <c r="F64" s="75">
        <v>0</v>
      </c>
      <c r="G64" s="75">
        <v>0</v>
      </c>
      <c r="H64" s="56" t="str">
        <f t="shared" si="0"/>
        <v/>
      </c>
    </row>
    <row r="65" spans="1:8">
      <c r="A65" s="236">
        <v>44927</v>
      </c>
      <c r="B65" s="243">
        <v>0</v>
      </c>
      <c r="C65" s="244">
        <v>0</v>
      </c>
      <c r="D65" s="243">
        <v>0</v>
      </c>
      <c r="E65" s="75">
        <v>0</v>
      </c>
      <c r="F65" s="75">
        <v>0</v>
      </c>
      <c r="G65" s="75">
        <v>0</v>
      </c>
      <c r="H65" s="56" t="str">
        <f t="shared" si="0"/>
        <v/>
      </c>
    </row>
    <row r="66" spans="1:8">
      <c r="A66" s="236">
        <v>44958</v>
      </c>
      <c r="B66" s="243">
        <v>0</v>
      </c>
      <c r="C66" s="244">
        <v>0</v>
      </c>
      <c r="D66" s="243">
        <v>0</v>
      </c>
      <c r="E66" s="75">
        <v>0</v>
      </c>
      <c r="F66" s="75">
        <v>0</v>
      </c>
      <c r="G66" s="75">
        <v>0</v>
      </c>
      <c r="H66" s="56" t="str">
        <f t="shared" ref="H66:H76" si="1">IF(MONTH(A66)=7,B66-G66,"")</f>
        <v/>
      </c>
    </row>
    <row r="67" spans="1:8">
      <c r="A67" s="236">
        <v>44986</v>
      </c>
      <c r="B67" s="243">
        <v>0</v>
      </c>
      <c r="C67" s="244">
        <v>0</v>
      </c>
      <c r="D67" s="243">
        <v>0</v>
      </c>
      <c r="E67" s="75">
        <v>0</v>
      </c>
      <c r="F67" s="75">
        <v>0</v>
      </c>
      <c r="G67" s="75">
        <v>0</v>
      </c>
      <c r="H67" s="56" t="str">
        <f t="shared" si="1"/>
        <v/>
      </c>
    </row>
    <row r="68" spans="1:8">
      <c r="A68" s="236">
        <v>45017</v>
      </c>
      <c r="B68" s="243">
        <v>0</v>
      </c>
      <c r="C68" s="244">
        <v>0</v>
      </c>
      <c r="D68" s="243">
        <v>0</v>
      </c>
      <c r="E68" s="75">
        <v>0</v>
      </c>
      <c r="F68" s="75">
        <v>0</v>
      </c>
      <c r="G68" s="75">
        <v>0</v>
      </c>
      <c r="H68" s="56" t="str">
        <f t="shared" si="1"/>
        <v/>
      </c>
    </row>
    <row r="69" spans="1:8">
      <c r="A69" s="236">
        <v>45047</v>
      </c>
      <c r="B69" s="243">
        <v>0</v>
      </c>
      <c r="C69" s="244">
        <v>0</v>
      </c>
      <c r="D69" s="243">
        <v>0</v>
      </c>
      <c r="E69" s="75">
        <v>0</v>
      </c>
      <c r="F69" s="75">
        <v>0</v>
      </c>
      <c r="G69" s="75">
        <v>0</v>
      </c>
      <c r="H69" s="56" t="str">
        <f t="shared" si="1"/>
        <v/>
      </c>
    </row>
    <row r="70" spans="1:8">
      <c r="A70" s="236">
        <v>45078</v>
      </c>
      <c r="B70" s="243">
        <v>0</v>
      </c>
      <c r="C70" s="244">
        <v>0</v>
      </c>
      <c r="D70" s="243">
        <v>0</v>
      </c>
      <c r="E70" s="75">
        <v>0</v>
      </c>
      <c r="F70" s="75">
        <v>0</v>
      </c>
      <c r="G70" s="75">
        <v>0</v>
      </c>
      <c r="H70" s="56" t="str">
        <f t="shared" si="1"/>
        <v/>
      </c>
    </row>
    <row r="71" spans="1:8">
      <c r="A71" s="236">
        <v>45108</v>
      </c>
      <c r="B71" s="298">
        <v>0</v>
      </c>
      <c r="C71" s="244">
        <v>0</v>
      </c>
      <c r="D71" s="243">
        <v>0</v>
      </c>
      <c r="E71" s="75">
        <v>0</v>
      </c>
      <c r="F71" s="75">
        <v>0</v>
      </c>
      <c r="G71" s="75">
        <v>0</v>
      </c>
      <c r="H71" s="56">
        <f t="shared" si="1"/>
        <v>0</v>
      </c>
    </row>
    <row r="72" spans="1:8">
      <c r="A72" s="236">
        <v>45139</v>
      </c>
      <c r="B72" s="243">
        <v>0</v>
      </c>
      <c r="C72" s="244">
        <v>0</v>
      </c>
      <c r="D72" s="243">
        <v>0</v>
      </c>
      <c r="E72" s="75">
        <v>0</v>
      </c>
      <c r="F72" s="75">
        <v>0</v>
      </c>
      <c r="G72" s="75">
        <v>0</v>
      </c>
      <c r="H72" s="56" t="str">
        <f t="shared" si="1"/>
        <v/>
      </c>
    </row>
    <row r="73" spans="1:8">
      <c r="A73" s="236">
        <v>45170</v>
      </c>
      <c r="B73" s="243">
        <v>0</v>
      </c>
      <c r="C73" s="244">
        <v>0</v>
      </c>
      <c r="D73" s="243">
        <v>0</v>
      </c>
      <c r="E73" s="75">
        <v>0</v>
      </c>
      <c r="F73" s="75">
        <v>0</v>
      </c>
      <c r="G73" s="75">
        <v>0</v>
      </c>
      <c r="H73" s="56" t="str">
        <f t="shared" si="1"/>
        <v/>
      </c>
    </row>
    <row r="74" spans="1:8">
      <c r="A74" s="236">
        <v>45200</v>
      </c>
      <c r="B74" s="243">
        <v>0</v>
      </c>
      <c r="C74" s="244">
        <v>0</v>
      </c>
      <c r="D74" s="243">
        <v>0</v>
      </c>
      <c r="E74" s="75">
        <v>0</v>
      </c>
      <c r="F74" s="75">
        <v>0</v>
      </c>
      <c r="G74" s="75">
        <v>0</v>
      </c>
      <c r="H74" s="56" t="str">
        <f t="shared" si="1"/>
        <v/>
      </c>
    </row>
    <row r="75" spans="1:8">
      <c r="A75" s="236">
        <v>45231</v>
      </c>
      <c r="B75" s="243">
        <v>0</v>
      </c>
      <c r="C75" s="244">
        <v>0</v>
      </c>
      <c r="D75" s="243">
        <v>0</v>
      </c>
      <c r="E75" s="75">
        <v>0</v>
      </c>
      <c r="F75" s="75">
        <v>0</v>
      </c>
      <c r="G75" s="75">
        <v>0</v>
      </c>
      <c r="H75" s="56" t="str">
        <f t="shared" si="1"/>
        <v/>
      </c>
    </row>
    <row r="76" spans="1:8">
      <c r="A76" s="236">
        <v>45261</v>
      </c>
      <c r="B76" s="243">
        <v>0</v>
      </c>
      <c r="C76" s="244">
        <v>0</v>
      </c>
      <c r="D76" s="243">
        <v>0</v>
      </c>
      <c r="E76" s="75">
        <v>0</v>
      </c>
      <c r="F76" s="75">
        <v>0</v>
      </c>
      <c r="G76" s="75">
        <v>0</v>
      </c>
      <c r="H76" s="56" t="str">
        <f t="shared" si="1"/>
        <v/>
      </c>
    </row>
    <row r="77" spans="1:8">
      <c r="A77" s="236">
        <v>45292</v>
      </c>
      <c r="B77" s="299">
        <v>3739</v>
      </c>
      <c r="C77" s="244">
        <v>45309.791666666664</v>
      </c>
      <c r="D77" s="243">
        <v>0</v>
      </c>
      <c r="E77" s="75">
        <v>0</v>
      </c>
      <c r="F77" s="75">
        <v>0</v>
      </c>
      <c r="G77" s="75">
        <v>3739</v>
      </c>
      <c r="H77" s="56" t="str">
        <f t="shared" ref="H77:H130" si="2">IF(MONTH(A77)=7,B77-G77,"")</f>
        <v/>
      </c>
    </row>
    <row r="78" spans="1:8">
      <c r="A78" s="236">
        <v>45323</v>
      </c>
      <c r="B78" s="243">
        <v>3477.6193102462821</v>
      </c>
      <c r="C78" s="244">
        <v>45327.291666666664</v>
      </c>
      <c r="D78" s="243">
        <v>0</v>
      </c>
      <c r="E78" s="75">
        <v>0</v>
      </c>
      <c r="F78" s="75">
        <v>0</v>
      </c>
      <c r="G78" s="75">
        <v>3477.6193102462821</v>
      </c>
      <c r="H78" s="56" t="str">
        <f t="shared" si="2"/>
        <v/>
      </c>
    </row>
    <row r="79" spans="1:8">
      <c r="A79" s="236">
        <v>45352</v>
      </c>
      <c r="B79" s="243">
        <v>3012.3378203507009</v>
      </c>
      <c r="C79" s="244">
        <v>45355.291666666664</v>
      </c>
      <c r="D79" s="243">
        <v>0</v>
      </c>
      <c r="E79" s="75">
        <v>0.37577570170341906</v>
      </c>
      <c r="F79" s="75">
        <v>-2.3313455763120657E-2</v>
      </c>
      <c r="G79" s="75">
        <v>3012.3378203507009</v>
      </c>
      <c r="H79" s="56" t="str">
        <f t="shared" si="2"/>
        <v/>
      </c>
    </row>
    <row r="80" spans="1:8">
      <c r="A80" s="236">
        <v>45383</v>
      </c>
      <c r="B80" s="243">
        <v>2579.5445977915942</v>
      </c>
      <c r="C80" s="244">
        <v>45384.333333333336</v>
      </c>
      <c r="D80" s="243">
        <v>0</v>
      </c>
      <c r="E80" s="75">
        <v>0.35677580667347031</v>
      </c>
      <c r="F80" s="75">
        <v>-0.39859957711057048</v>
      </c>
      <c r="G80" s="75">
        <v>2579.5445977915947</v>
      </c>
      <c r="H80" s="56" t="str">
        <f t="shared" si="2"/>
        <v/>
      </c>
    </row>
    <row r="81" spans="1:8">
      <c r="A81" s="236">
        <v>45413</v>
      </c>
      <c r="B81" s="243">
        <v>3258.4486458806482</v>
      </c>
      <c r="C81" s="244">
        <v>45442.666666666664</v>
      </c>
      <c r="D81" s="243">
        <v>0</v>
      </c>
      <c r="E81" s="75">
        <v>0.46760852768150124</v>
      </c>
      <c r="F81" s="75">
        <v>-2.1253564493779251</v>
      </c>
      <c r="G81" s="75">
        <v>3258.4486458806482</v>
      </c>
      <c r="H81" s="56" t="str">
        <f t="shared" si="2"/>
        <v/>
      </c>
    </row>
    <row r="82" spans="1:8">
      <c r="A82" s="236">
        <v>45444</v>
      </c>
      <c r="B82" s="243">
        <v>3692.3886262603824</v>
      </c>
      <c r="C82" s="244">
        <v>45468.666666666664</v>
      </c>
      <c r="D82" s="243">
        <v>0</v>
      </c>
      <c r="E82" s="75">
        <v>0.34094256081518032</v>
      </c>
      <c r="F82" s="75">
        <v>-2.9117771858400725</v>
      </c>
      <c r="G82" s="75">
        <v>3692.3886262603824</v>
      </c>
      <c r="H82" s="56" t="str">
        <f t="shared" si="2"/>
        <v/>
      </c>
    </row>
    <row r="83" spans="1:8">
      <c r="A83" s="236">
        <v>45474</v>
      </c>
      <c r="B83" s="298">
        <v>3997.2000607025307</v>
      </c>
      <c r="C83" s="244">
        <v>45492.666666666664</v>
      </c>
      <c r="D83" s="243">
        <v>0</v>
      </c>
      <c r="E83" s="75">
        <v>0.64388533157046524</v>
      </c>
      <c r="F83" s="75">
        <v>-3.5343953068707679</v>
      </c>
      <c r="G83" s="75">
        <v>3997.2000607025307</v>
      </c>
      <c r="H83" s="56">
        <f t="shared" si="2"/>
        <v>0</v>
      </c>
    </row>
    <row r="84" spans="1:8">
      <c r="A84" s="236">
        <v>45505</v>
      </c>
      <c r="B84" s="243">
        <v>3885.8172551086059</v>
      </c>
      <c r="C84" s="244">
        <v>45506.666666666664</v>
      </c>
      <c r="D84" s="243">
        <v>0</v>
      </c>
      <c r="E84" s="75">
        <v>0.59533004427170866</v>
      </c>
      <c r="F84" s="75">
        <v>-3.8468124267942883</v>
      </c>
      <c r="G84" s="75">
        <v>3885.8172551086059</v>
      </c>
      <c r="H84" s="56" t="str">
        <f t="shared" si="2"/>
        <v/>
      </c>
    </row>
    <row r="85" spans="1:8">
      <c r="A85" s="236">
        <v>45536</v>
      </c>
      <c r="B85" s="243">
        <v>3537.4652843236013</v>
      </c>
      <c r="C85" s="244">
        <v>45537.666666666664</v>
      </c>
      <c r="D85" s="243">
        <v>0</v>
      </c>
      <c r="E85" s="75">
        <v>0.68188512163036086</v>
      </c>
      <c r="F85" s="75">
        <v>-3.7862165266892247</v>
      </c>
      <c r="G85" s="75">
        <v>3537.4652843236008</v>
      </c>
      <c r="H85" s="56" t="str">
        <f t="shared" si="2"/>
        <v/>
      </c>
    </row>
    <row r="86" spans="1:8">
      <c r="A86" s="236">
        <v>45566</v>
      </c>
      <c r="B86" s="243">
        <v>2616.1285354924894</v>
      </c>
      <c r="C86" s="244">
        <v>45568.625</v>
      </c>
      <c r="D86" s="243">
        <v>0</v>
      </c>
      <c r="E86" s="75">
        <v>1.9369337433308249</v>
      </c>
      <c r="F86" s="75">
        <v>-4.5218690874371914</v>
      </c>
      <c r="G86" s="75">
        <v>2616.1285354924898</v>
      </c>
      <c r="H86" s="56" t="str">
        <f t="shared" si="2"/>
        <v/>
      </c>
    </row>
    <row r="87" spans="1:8">
      <c r="A87" s="236">
        <v>45597</v>
      </c>
      <c r="B87" s="243">
        <v>2950.4122954781819</v>
      </c>
      <c r="C87" s="244">
        <v>45618.375</v>
      </c>
      <c r="D87" s="243">
        <v>0</v>
      </c>
      <c r="E87" s="75">
        <v>1.4102144311117051</v>
      </c>
      <c r="F87" s="75">
        <v>-2.4739292579334653</v>
      </c>
      <c r="G87" s="75">
        <v>2950.4122954781815</v>
      </c>
      <c r="H87" s="56" t="str">
        <f t="shared" si="2"/>
        <v/>
      </c>
    </row>
    <row r="88" spans="1:8">
      <c r="A88" s="236">
        <v>45627</v>
      </c>
      <c r="B88" s="243">
        <v>3188.1168738483461</v>
      </c>
      <c r="C88" s="244">
        <v>45645.333333333336</v>
      </c>
      <c r="D88" s="243">
        <v>0</v>
      </c>
      <c r="E88" s="75">
        <v>1.6741018620832064</v>
      </c>
      <c r="F88" s="75">
        <v>-0.51547949483480882</v>
      </c>
      <c r="G88" s="75">
        <v>3188.1168738483461</v>
      </c>
      <c r="H88" s="56" t="str">
        <f t="shared" si="2"/>
        <v/>
      </c>
    </row>
    <row r="89" spans="1:8">
      <c r="A89" s="236">
        <v>45658</v>
      </c>
      <c r="B89" s="299">
        <v>3482.179251489913</v>
      </c>
      <c r="C89" s="244">
        <v>45678.291666666664</v>
      </c>
      <c r="D89" s="243">
        <v>0</v>
      </c>
      <c r="E89" s="75">
        <v>1.4302698758655421</v>
      </c>
      <c r="F89" s="75">
        <v>0</v>
      </c>
      <c r="G89" s="75">
        <v>3482.179251489913</v>
      </c>
      <c r="H89" s="56" t="str">
        <f t="shared" si="2"/>
        <v/>
      </c>
    </row>
    <row r="90" spans="1:8">
      <c r="A90" s="236">
        <v>45689</v>
      </c>
      <c r="B90" s="243">
        <v>3263.2042596906799</v>
      </c>
      <c r="C90" s="244">
        <v>45693.291666666664</v>
      </c>
      <c r="D90" s="243">
        <v>0</v>
      </c>
      <c r="E90" s="75">
        <v>1.7321570968969375</v>
      </c>
      <c r="F90" s="75">
        <v>-1.9062840150573458E-2</v>
      </c>
      <c r="G90" s="75">
        <v>3263.2042596906799</v>
      </c>
      <c r="H90" s="56" t="str">
        <f t="shared" si="2"/>
        <v/>
      </c>
    </row>
    <row r="91" spans="1:8">
      <c r="A91" s="236">
        <v>45717</v>
      </c>
      <c r="B91" s="243">
        <v>2966.119192874472</v>
      </c>
      <c r="C91" s="244">
        <v>45720.291666666664</v>
      </c>
      <c r="D91" s="243">
        <v>0</v>
      </c>
      <c r="E91" s="75">
        <v>1.693101757113155</v>
      </c>
      <c r="F91" s="75">
        <v>-0.14572909825417119</v>
      </c>
      <c r="G91" s="75">
        <v>2966.1191928744715</v>
      </c>
      <c r="H91" s="56" t="str">
        <f t="shared" si="2"/>
        <v/>
      </c>
    </row>
    <row r="92" spans="1:8">
      <c r="A92" s="236">
        <v>45748</v>
      </c>
      <c r="B92" s="243">
        <v>2562.7257024190826</v>
      </c>
      <c r="C92" s="244">
        <v>45749.333333333336</v>
      </c>
      <c r="D92" s="243">
        <v>0</v>
      </c>
      <c r="E92" s="75">
        <v>2.0350998676522183</v>
      </c>
      <c r="F92" s="75">
        <v>-1.7676692642750309</v>
      </c>
      <c r="G92" s="75">
        <v>2562.7257024190826</v>
      </c>
      <c r="H92" s="56" t="str">
        <f t="shared" si="2"/>
        <v/>
      </c>
    </row>
    <row r="93" spans="1:8">
      <c r="A93" s="236">
        <v>45778</v>
      </c>
      <c r="B93" s="243">
        <v>3253.7967422008264</v>
      </c>
      <c r="C93" s="244">
        <v>45807.666666666664</v>
      </c>
      <c r="D93" s="243">
        <v>0</v>
      </c>
      <c r="E93" s="75">
        <v>3.9192561247887463</v>
      </c>
      <c r="F93" s="75">
        <v>-7.9097095403151014</v>
      </c>
      <c r="G93" s="75">
        <v>3253.7967422008264</v>
      </c>
      <c r="H93" s="56" t="str">
        <f t="shared" si="2"/>
        <v/>
      </c>
    </row>
    <row r="94" spans="1:8">
      <c r="A94" s="236">
        <v>45809</v>
      </c>
      <c r="B94" s="243">
        <v>3695.2529771047548</v>
      </c>
      <c r="C94" s="244">
        <v>45833.666666666664</v>
      </c>
      <c r="D94" s="243">
        <v>0</v>
      </c>
      <c r="E94" s="75">
        <v>4.6138078431057385</v>
      </c>
      <c r="F94" s="75">
        <v>-9.4550649732340108</v>
      </c>
      <c r="G94" s="75">
        <v>3695.2529771047548</v>
      </c>
      <c r="H94" s="56" t="str">
        <f t="shared" si="2"/>
        <v/>
      </c>
    </row>
    <row r="95" spans="1:8">
      <c r="A95" s="236">
        <v>45839</v>
      </c>
      <c r="B95" s="243">
        <v>4003.0604601966052</v>
      </c>
      <c r="C95" s="244">
        <v>45856.666666666664</v>
      </c>
      <c r="D95" s="243">
        <v>0</v>
      </c>
      <c r="E95" s="75">
        <v>5.0508054287945487</v>
      </c>
      <c r="F95" s="75">
        <v>-10.289910238769274</v>
      </c>
      <c r="G95" s="75">
        <v>4003.0604601966047</v>
      </c>
      <c r="H95" s="56">
        <f t="shared" si="2"/>
        <v>4.5474735088646412E-13</v>
      </c>
    </row>
    <row r="96" spans="1:8">
      <c r="A96" s="236">
        <v>45870</v>
      </c>
      <c r="B96" s="243">
        <v>3894.5490214446395</v>
      </c>
      <c r="C96" s="244">
        <v>45873.666666666664</v>
      </c>
      <c r="D96" s="243">
        <v>0</v>
      </c>
      <c r="E96" s="75">
        <v>4.9938057437046925</v>
      </c>
      <c r="F96" s="75">
        <v>-10.250107703783192</v>
      </c>
      <c r="G96" s="75">
        <v>3894.549021444639</v>
      </c>
      <c r="H96" s="56" t="str">
        <f t="shared" si="2"/>
        <v/>
      </c>
    </row>
    <row r="97" spans="1:8">
      <c r="A97" s="236">
        <v>45901</v>
      </c>
      <c r="B97" s="243">
        <v>3546.4230260360432</v>
      </c>
      <c r="C97" s="244">
        <v>45902.666666666664</v>
      </c>
      <c r="D97" s="243">
        <v>0</v>
      </c>
      <c r="E97" s="75">
        <v>5.0391943818318001</v>
      </c>
      <c r="F97" s="75">
        <v>-9.1802880874427917</v>
      </c>
      <c r="G97" s="75">
        <v>3546.4230260360432</v>
      </c>
      <c r="H97" s="56" t="str">
        <f t="shared" si="2"/>
        <v/>
      </c>
    </row>
    <row r="98" spans="1:8">
      <c r="A98" s="236">
        <v>45931</v>
      </c>
      <c r="B98" s="243">
        <v>2630.0244275057548</v>
      </c>
      <c r="C98" s="244">
        <v>45933.625</v>
      </c>
      <c r="D98" s="243">
        <v>0</v>
      </c>
      <c r="E98" s="75">
        <v>6.0504110173145946</v>
      </c>
      <c r="F98" s="75">
        <v>-10.327780626029698</v>
      </c>
      <c r="G98" s="75">
        <v>2630.0244275057548</v>
      </c>
      <c r="H98" s="56" t="str">
        <f t="shared" si="2"/>
        <v/>
      </c>
    </row>
    <row r="99" spans="1:8">
      <c r="A99" s="236">
        <v>45962</v>
      </c>
      <c r="B99" s="243">
        <v>2981.1030761491706</v>
      </c>
      <c r="C99" s="244">
        <v>45985.333333333336</v>
      </c>
      <c r="D99" s="243">
        <v>0</v>
      </c>
      <c r="E99" s="75">
        <v>3.4516475971072449</v>
      </c>
      <c r="F99" s="75">
        <v>-1.985601891015609</v>
      </c>
      <c r="G99" s="75">
        <v>2981.1030761491711</v>
      </c>
      <c r="H99" s="56" t="str">
        <f t="shared" si="2"/>
        <v/>
      </c>
    </row>
    <row r="100" spans="1:8">
      <c r="A100" s="236">
        <v>45992</v>
      </c>
      <c r="B100" s="243">
        <v>3220.7934744319887</v>
      </c>
      <c r="C100" s="244">
        <v>46010.333333333336</v>
      </c>
      <c r="D100" s="243">
        <v>0</v>
      </c>
      <c r="E100" s="75">
        <v>4.0110889507668226</v>
      </c>
      <c r="F100" s="75">
        <v>-1.0687621470289748</v>
      </c>
      <c r="G100" s="75">
        <v>3220.7934744319891</v>
      </c>
      <c r="H100" s="56" t="str">
        <f t="shared" si="2"/>
        <v/>
      </c>
    </row>
    <row r="101" spans="1:8">
      <c r="A101" s="236">
        <v>46023</v>
      </c>
      <c r="B101" s="243">
        <v>3483.4468980268907</v>
      </c>
      <c r="C101" s="244">
        <v>46043.333333333336</v>
      </c>
      <c r="D101" s="243">
        <v>0</v>
      </c>
      <c r="E101" s="75">
        <v>4.4628642325900367</v>
      </c>
      <c r="F101" s="75">
        <v>-1.2599834312128058</v>
      </c>
      <c r="G101" s="75">
        <v>3483.4468980268912</v>
      </c>
      <c r="H101" s="56" t="str">
        <f t="shared" si="2"/>
        <v/>
      </c>
    </row>
    <row r="102" spans="1:8">
      <c r="A102" s="236">
        <v>46054</v>
      </c>
      <c r="B102" s="243">
        <v>3265.2764061581911</v>
      </c>
      <c r="C102" s="244">
        <v>46058.291666666664</v>
      </c>
      <c r="D102" s="243">
        <v>0</v>
      </c>
      <c r="E102" s="75">
        <v>3.7092017297354243</v>
      </c>
      <c r="F102" s="75">
        <v>-3.6686521306149938E-2</v>
      </c>
      <c r="G102" s="75">
        <v>3265.2764061581911</v>
      </c>
      <c r="H102" s="56" t="str">
        <f t="shared" si="2"/>
        <v/>
      </c>
    </row>
    <row r="103" spans="1:8">
      <c r="A103" s="236">
        <v>46082</v>
      </c>
      <c r="B103" s="75">
        <v>2968.8053247125436</v>
      </c>
      <c r="C103" s="237">
        <v>46085.291666666664</v>
      </c>
      <c r="D103" s="75">
        <v>0</v>
      </c>
      <c r="E103" s="75">
        <v>3.6363687987872946</v>
      </c>
      <c r="F103" s="75">
        <v>-0.27182893562838051</v>
      </c>
      <c r="G103" s="75">
        <v>2968.8053247125436</v>
      </c>
      <c r="H103" s="56" t="str">
        <f t="shared" si="2"/>
        <v/>
      </c>
    </row>
    <row r="104" spans="1:8">
      <c r="A104" s="236">
        <v>46113</v>
      </c>
      <c r="B104" s="75">
        <v>2566.1584530526579</v>
      </c>
      <c r="C104" s="237">
        <v>46114.333333333336</v>
      </c>
      <c r="D104" s="75">
        <v>0</v>
      </c>
      <c r="E104" s="75">
        <v>4.4924196248588499</v>
      </c>
      <c r="F104" s="75">
        <v>-3.1758826953874988</v>
      </c>
      <c r="G104" s="75">
        <v>2566.1584530526575</v>
      </c>
      <c r="H104" s="56" t="str">
        <f t="shared" si="2"/>
        <v/>
      </c>
    </row>
    <row r="105" spans="1:8">
      <c r="A105" s="236">
        <v>46143</v>
      </c>
      <c r="B105" s="75">
        <v>3256.357154581759</v>
      </c>
      <c r="C105" s="237">
        <v>46170.666666666664</v>
      </c>
      <c r="D105" s="75">
        <v>0</v>
      </c>
      <c r="E105" s="75">
        <v>9.627669031564265</v>
      </c>
      <c r="F105" s="75">
        <v>-13.877223896557823</v>
      </c>
      <c r="G105" s="75">
        <v>3256.3571545817599</v>
      </c>
      <c r="H105" s="56" t="str">
        <f t="shared" si="2"/>
        <v/>
      </c>
    </row>
    <row r="106" spans="1:8">
      <c r="A106" s="236">
        <v>46174</v>
      </c>
      <c r="B106" s="75">
        <v>3697.1837465145222</v>
      </c>
      <c r="C106" s="237">
        <v>46198.666666666664</v>
      </c>
      <c r="D106" s="75">
        <v>0</v>
      </c>
      <c r="E106" s="75">
        <v>10.239887871418153</v>
      </c>
      <c r="F106" s="75">
        <v>-16.220479108013134</v>
      </c>
      <c r="G106" s="75">
        <v>3697.1837465145218</v>
      </c>
      <c r="H106" s="56" t="str">
        <f t="shared" si="2"/>
        <v/>
      </c>
    </row>
    <row r="107" spans="1:8">
      <c r="A107" s="236">
        <v>46204</v>
      </c>
      <c r="B107" s="75">
        <v>4005.1436654751956</v>
      </c>
      <c r="C107" s="237">
        <v>46224.666666666664</v>
      </c>
      <c r="D107" s="75">
        <v>0</v>
      </c>
      <c r="E107" s="75">
        <v>10.871106606301986</v>
      </c>
      <c r="F107" s="75">
        <v>-17.296720143877454</v>
      </c>
      <c r="G107" s="75">
        <v>4005.1436654751951</v>
      </c>
      <c r="H107" s="56">
        <f t="shared" si="2"/>
        <v>4.5474735088646412E-13</v>
      </c>
    </row>
    <row r="108" spans="1:8">
      <c r="A108" s="236">
        <v>46235</v>
      </c>
      <c r="B108" s="75">
        <v>3896.8322881262084</v>
      </c>
      <c r="C108" s="237">
        <v>46238.666666666664</v>
      </c>
      <c r="D108" s="75">
        <v>0</v>
      </c>
      <c r="E108" s="75">
        <v>10.768718283085031</v>
      </c>
      <c r="F108" s="75">
        <v>-16.901613853951662</v>
      </c>
      <c r="G108" s="75">
        <v>3896.8322881262075</v>
      </c>
      <c r="H108" s="56" t="str">
        <f t="shared" si="2"/>
        <v/>
      </c>
    </row>
    <row r="109" spans="1:8">
      <c r="A109" s="236">
        <v>46266</v>
      </c>
      <c r="B109" s="75">
        <v>3549.4835115241913</v>
      </c>
      <c r="C109" s="237">
        <v>46267.666666666664</v>
      </c>
      <c r="D109" s="75">
        <v>0</v>
      </c>
      <c r="E109" s="75">
        <v>10.820440219555465</v>
      </c>
      <c r="F109" s="75">
        <v>-14.786610296560967</v>
      </c>
      <c r="G109" s="75">
        <v>3549.4835115241908</v>
      </c>
      <c r="H109" s="56" t="str">
        <f t="shared" si="2"/>
        <v/>
      </c>
    </row>
    <row r="110" spans="1:8">
      <c r="A110" s="236">
        <v>46296</v>
      </c>
      <c r="B110" s="75">
        <v>2631.6097808630529</v>
      </c>
      <c r="C110" s="237">
        <v>46297.625</v>
      </c>
      <c r="D110" s="75">
        <v>0</v>
      </c>
      <c r="E110" s="75">
        <v>11.684935443418112</v>
      </c>
      <c r="F110" s="75">
        <v>-16.358502175350857</v>
      </c>
      <c r="G110" s="75">
        <v>2631.6097808630529</v>
      </c>
      <c r="H110" s="56" t="str">
        <f t="shared" si="2"/>
        <v/>
      </c>
    </row>
    <row r="111" spans="1:8">
      <c r="A111" s="236">
        <v>46327</v>
      </c>
      <c r="B111" s="75">
        <v>2983.5869900237012</v>
      </c>
      <c r="C111" s="237">
        <v>46349.333333333336</v>
      </c>
      <c r="D111" s="75">
        <v>0</v>
      </c>
      <c r="E111" s="75">
        <v>6.5676303820187352</v>
      </c>
      <c r="F111" s="75">
        <v>-3.0934787155871244</v>
      </c>
      <c r="G111" s="75">
        <v>2983.5869900237012</v>
      </c>
      <c r="H111" s="56" t="str">
        <f t="shared" si="2"/>
        <v/>
      </c>
    </row>
    <row r="112" spans="1:8">
      <c r="A112" s="236">
        <v>46357</v>
      </c>
      <c r="B112" s="75">
        <v>3223.3773020589074</v>
      </c>
      <c r="C112" s="237">
        <v>46364.75</v>
      </c>
      <c r="D112" s="75">
        <v>0</v>
      </c>
      <c r="E112" s="75">
        <v>24.857140447791583</v>
      </c>
      <c r="F112" s="75">
        <v>0</v>
      </c>
      <c r="G112" s="75">
        <v>3223.3773020589069</v>
      </c>
      <c r="H112" s="56" t="str">
        <f t="shared" si="2"/>
        <v/>
      </c>
    </row>
    <row r="113" spans="1:8">
      <c r="A113" s="236">
        <v>46388</v>
      </c>
      <c r="B113" s="75">
        <v>3484.0123677965448</v>
      </c>
      <c r="C113" s="237">
        <v>46408.333333333336</v>
      </c>
      <c r="D113" s="75">
        <v>0</v>
      </c>
      <c r="E113" s="75">
        <v>8.0760109374518354</v>
      </c>
      <c r="F113" s="75">
        <v>-1.9070262382351861</v>
      </c>
      <c r="G113" s="75">
        <v>3484.0123677965444</v>
      </c>
      <c r="H113" s="56" t="str">
        <f t="shared" si="2"/>
        <v/>
      </c>
    </row>
    <row r="114" spans="1:8">
      <c r="A114" s="236">
        <v>46419</v>
      </c>
      <c r="B114" s="75">
        <v>3266.274825527194</v>
      </c>
      <c r="C114" s="237">
        <v>46423.291666666664</v>
      </c>
      <c r="D114" s="75">
        <v>0</v>
      </c>
      <c r="E114" s="75">
        <v>6.5760747798098347</v>
      </c>
      <c r="F114" s="75">
        <v>-5.4759087359734691E-2</v>
      </c>
      <c r="G114" s="75">
        <v>3266.2748255271945</v>
      </c>
      <c r="H114" s="56" t="str">
        <f t="shared" si="2"/>
        <v/>
      </c>
    </row>
    <row r="115" spans="1:8">
      <c r="A115" s="236">
        <v>46447</v>
      </c>
      <c r="B115" s="75">
        <v>2970.2559998180204</v>
      </c>
      <c r="C115" s="237">
        <v>46450.291666666664</v>
      </c>
      <c r="D115" s="75">
        <v>0</v>
      </c>
      <c r="E115" s="75">
        <v>6.4346311168091006</v>
      </c>
      <c r="F115" s="75">
        <v>-0.40055761855230143</v>
      </c>
      <c r="G115" s="75">
        <v>2970.2559998180204</v>
      </c>
      <c r="H115" s="56" t="str">
        <f t="shared" si="2"/>
        <v/>
      </c>
    </row>
    <row r="116" spans="1:8">
      <c r="A116" s="236">
        <v>46478</v>
      </c>
      <c r="B116" s="75">
        <v>2550.2231688046422</v>
      </c>
      <c r="C116" s="237">
        <v>46478.541666666664</v>
      </c>
      <c r="D116" s="75">
        <v>0</v>
      </c>
      <c r="E116" s="75">
        <v>11.202549219602204</v>
      </c>
      <c r="F116" s="75">
        <v>-26.496865860907171</v>
      </c>
      <c r="G116" s="75">
        <v>2550.2231688046422</v>
      </c>
      <c r="H116" s="56" t="str">
        <f t="shared" si="2"/>
        <v/>
      </c>
    </row>
    <row r="117" spans="1:8">
      <c r="A117" s="236">
        <v>46508</v>
      </c>
      <c r="B117" s="75">
        <v>3268.2871937876553</v>
      </c>
      <c r="C117" s="237">
        <v>46538.708333333336</v>
      </c>
      <c r="D117" s="75">
        <v>0</v>
      </c>
      <c r="E117" s="75">
        <v>20.799607309173705</v>
      </c>
      <c r="F117" s="75">
        <v>-14.286265299077133</v>
      </c>
      <c r="G117" s="75">
        <v>3268.2871937876548</v>
      </c>
      <c r="H117" s="56" t="str">
        <f t="shared" si="2"/>
        <v/>
      </c>
    </row>
    <row r="118" spans="1:8">
      <c r="A118" s="236">
        <v>46539</v>
      </c>
      <c r="B118" s="75">
        <v>3700.1779796696014</v>
      </c>
      <c r="C118" s="237">
        <v>46559.708333333336</v>
      </c>
      <c r="D118" s="75">
        <v>0</v>
      </c>
      <c r="E118" s="75">
        <v>21.306271176639079</v>
      </c>
      <c r="F118" s="75">
        <v>-15.289417839629257</v>
      </c>
      <c r="G118" s="75">
        <v>3700.1779796696019</v>
      </c>
      <c r="H118" s="56" t="str">
        <f t="shared" si="2"/>
        <v/>
      </c>
    </row>
    <row r="119" spans="1:8">
      <c r="A119" s="236">
        <v>46569</v>
      </c>
      <c r="B119" s="75">
        <v>4008.3471823475015</v>
      </c>
      <c r="C119" s="237">
        <v>46587.666666666664</v>
      </c>
      <c r="D119" s="75">
        <v>0</v>
      </c>
      <c r="E119" s="75">
        <v>18.293732264668357</v>
      </c>
      <c r="F119" s="75">
        <v>-24.234677135461002</v>
      </c>
      <c r="G119" s="75">
        <v>4008.3471823475015</v>
      </c>
      <c r="H119" s="56">
        <f t="shared" si="2"/>
        <v>0</v>
      </c>
    </row>
    <row r="120" spans="1:8">
      <c r="A120" s="236">
        <v>46600</v>
      </c>
      <c r="B120" s="75">
        <v>3899.9502125678223</v>
      </c>
      <c r="C120" s="237">
        <v>46603.666666666664</v>
      </c>
      <c r="D120" s="75">
        <v>0</v>
      </c>
      <c r="E120" s="75">
        <v>17.958067452472662</v>
      </c>
      <c r="F120" s="75">
        <v>-23.4382659628723</v>
      </c>
      <c r="G120" s="75">
        <v>3899.9502125678223</v>
      </c>
      <c r="H120" s="56" t="str">
        <f t="shared" si="2"/>
        <v/>
      </c>
    </row>
    <row r="121" spans="1:8">
      <c r="A121" s="236">
        <v>46631</v>
      </c>
      <c r="B121" s="75">
        <v>3552.782427430102</v>
      </c>
      <c r="C121" s="237">
        <v>46632.666666666664</v>
      </c>
      <c r="D121" s="75">
        <v>0</v>
      </c>
      <c r="E121" s="75">
        <v>18.071011272928466</v>
      </c>
      <c r="F121" s="75">
        <v>-20.258484895110659</v>
      </c>
      <c r="G121" s="75">
        <v>3552.782427430102</v>
      </c>
      <c r="H121" s="56" t="str">
        <f t="shared" si="2"/>
        <v/>
      </c>
    </row>
    <row r="122" spans="1:8">
      <c r="A122" s="236">
        <v>46661</v>
      </c>
      <c r="B122" s="75">
        <v>2635.7952777899814</v>
      </c>
      <c r="C122" s="237">
        <v>46664.666666666664</v>
      </c>
      <c r="D122" s="75">
        <v>0</v>
      </c>
      <c r="E122" s="75">
        <v>23.993700773652851</v>
      </c>
      <c r="F122" s="75">
        <v>-15.934635938147672</v>
      </c>
      <c r="G122" s="75">
        <v>2635.7952777899818</v>
      </c>
      <c r="H122" s="56" t="str">
        <f t="shared" si="2"/>
        <v/>
      </c>
    </row>
    <row r="123" spans="1:8">
      <c r="A123" s="236">
        <v>46692</v>
      </c>
      <c r="B123" s="75">
        <v>3012.4994303487219</v>
      </c>
      <c r="C123" s="237">
        <v>46713.75</v>
      </c>
      <c r="D123" s="75">
        <v>0</v>
      </c>
      <c r="E123" s="75">
        <v>33.675202841135302</v>
      </c>
      <c r="F123" s="75">
        <v>-1.1529403925850813E-3</v>
      </c>
      <c r="G123" s="75">
        <v>3012.4994303487219</v>
      </c>
      <c r="H123" s="56" t="str">
        <f t="shared" si="2"/>
        <v/>
      </c>
    </row>
    <row r="124" spans="1:8">
      <c r="A124" s="236">
        <v>46722</v>
      </c>
      <c r="B124" s="75">
        <v>3243.5690195040465</v>
      </c>
      <c r="C124" s="237">
        <v>46741.75</v>
      </c>
      <c r="D124" s="75">
        <v>0</v>
      </c>
      <c r="E124" s="75">
        <v>38.802007850049691</v>
      </c>
      <c r="F124" s="75">
        <v>0</v>
      </c>
      <c r="G124" s="75">
        <v>3243.569019504047</v>
      </c>
      <c r="H124" s="56" t="str">
        <f t="shared" si="2"/>
        <v/>
      </c>
    </row>
    <row r="125" spans="1:8">
      <c r="A125" s="236">
        <v>46753</v>
      </c>
      <c r="B125" s="75">
        <v>3489.3374821864095</v>
      </c>
      <c r="C125" s="237">
        <v>46773.333333333336</v>
      </c>
      <c r="D125" s="75">
        <v>0</v>
      </c>
      <c r="E125" s="75">
        <v>12.979039404902336</v>
      </c>
      <c r="F125" s="75">
        <v>-2.5320408223392827</v>
      </c>
      <c r="G125" s="75">
        <v>3489.3374821864099</v>
      </c>
      <c r="H125" s="56" t="str">
        <f t="shared" si="2"/>
        <v/>
      </c>
    </row>
    <row r="126" spans="1:8">
      <c r="A126" s="236">
        <v>46784</v>
      </c>
      <c r="B126" s="75">
        <v>3290.4842526574075</v>
      </c>
      <c r="C126" s="237">
        <v>46787.291666666664</v>
      </c>
      <c r="D126" s="75">
        <v>0</v>
      </c>
      <c r="E126" s="75">
        <v>10.08366651228304</v>
      </c>
      <c r="F126" s="75">
        <v>-7.2239740914023451E-2</v>
      </c>
      <c r="G126" s="75">
        <v>3290.4842526574075</v>
      </c>
      <c r="H126" s="56" t="str">
        <f t="shared" si="2"/>
        <v/>
      </c>
    </row>
    <row r="127" spans="1:8">
      <c r="A127" s="236">
        <v>46813</v>
      </c>
      <c r="B127" s="75">
        <v>2974.4579678843606</v>
      </c>
      <c r="C127" s="237">
        <v>46815.291666666664</v>
      </c>
      <c r="D127" s="75">
        <v>0</v>
      </c>
      <c r="E127" s="75">
        <v>10.297943106231887</v>
      </c>
      <c r="F127" s="75">
        <v>-0.52531172466380083</v>
      </c>
      <c r="G127" s="75">
        <v>2974.4579678843597</v>
      </c>
      <c r="H127" s="56" t="str">
        <f t="shared" si="2"/>
        <v/>
      </c>
    </row>
    <row r="128" spans="1:8">
      <c r="A128" s="236">
        <v>46844</v>
      </c>
      <c r="B128" s="75">
        <v>2573.6582504532116</v>
      </c>
      <c r="C128" s="237">
        <v>46848.333333333336</v>
      </c>
      <c r="D128" s="75">
        <v>0</v>
      </c>
      <c r="E128" s="75">
        <v>12.907262023678108</v>
      </c>
      <c r="F128" s="75">
        <v>-5.9943268815039863</v>
      </c>
      <c r="G128" s="75">
        <v>2573.6582504532112</v>
      </c>
      <c r="H128" s="56" t="str">
        <f t="shared" si="2"/>
        <v/>
      </c>
    </row>
    <row r="129" spans="1:8">
      <c r="A129" s="236">
        <v>46874</v>
      </c>
      <c r="B129" s="75">
        <v>3274.3464808314184</v>
      </c>
      <c r="C129" s="237">
        <v>46903.708333333336</v>
      </c>
      <c r="D129" s="75">
        <v>0</v>
      </c>
      <c r="E129" s="75">
        <v>31.717158103326767</v>
      </c>
      <c r="F129" s="75">
        <v>-18.505963234858196</v>
      </c>
      <c r="G129" s="75">
        <v>3274.3464808314184</v>
      </c>
      <c r="H129" s="56" t="str">
        <f t="shared" si="2"/>
        <v/>
      </c>
    </row>
    <row r="130" spans="1:8">
      <c r="A130" s="236">
        <v>46905</v>
      </c>
      <c r="B130" s="75">
        <v>3705.9126995162596</v>
      </c>
      <c r="C130" s="237">
        <v>46925.708333333336</v>
      </c>
      <c r="D130" s="75">
        <v>0</v>
      </c>
      <c r="E130" s="75">
        <v>31.87971276080517</v>
      </c>
      <c r="F130" s="75">
        <v>-19.713006341532434</v>
      </c>
      <c r="G130" s="75">
        <v>3705.9126995162601</v>
      </c>
      <c r="H130" s="56" t="str">
        <f t="shared" si="2"/>
        <v/>
      </c>
    </row>
    <row r="131" spans="1:8">
      <c r="A131" s="236">
        <v>46935</v>
      </c>
      <c r="B131" s="75">
        <v>4013.6000549765981</v>
      </c>
      <c r="C131" s="237">
        <v>46953.666666666664</v>
      </c>
      <c r="D131" s="75">
        <v>0</v>
      </c>
      <c r="E131" s="75">
        <v>27.356682193953617</v>
      </c>
      <c r="F131" s="75">
        <v>-31.115261083267189</v>
      </c>
      <c r="G131" s="75">
        <v>4013.6000549765986</v>
      </c>
      <c r="H131" s="56">
        <f t="shared" ref="H131:H194" si="3">IF(MONTH(A131)=7,B131-G131,"")</f>
        <v>-4.5474735088646412E-13</v>
      </c>
    </row>
    <row r="132" spans="1:8">
      <c r="A132" s="236">
        <v>46966</v>
      </c>
      <c r="B132" s="75">
        <v>3904.8792518463938</v>
      </c>
      <c r="C132" s="237">
        <v>46969.666666666664</v>
      </c>
      <c r="D132" s="75">
        <v>0</v>
      </c>
      <c r="E132" s="75">
        <v>26.649463878949984</v>
      </c>
      <c r="F132" s="75">
        <v>-29.966824505776806</v>
      </c>
      <c r="G132" s="75">
        <v>3904.8792518463938</v>
      </c>
      <c r="H132" s="56" t="str">
        <f t="shared" si="3"/>
        <v/>
      </c>
    </row>
    <row r="133" spans="1:8">
      <c r="A133" s="236">
        <v>46997</v>
      </c>
      <c r="B133" s="75">
        <v>3557.8085437059435</v>
      </c>
      <c r="C133" s="237">
        <v>46997.666666666664</v>
      </c>
      <c r="D133" s="75">
        <v>0</v>
      </c>
      <c r="E133" s="75">
        <v>26.959795497772529</v>
      </c>
      <c r="F133" s="75">
        <v>-25.764967013868578</v>
      </c>
      <c r="G133" s="75">
        <v>3557.8085437059431</v>
      </c>
      <c r="H133" s="56" t="str">
        <f t="shared" si="3"/>
        <v/>
      </c>
    </row>
    <row r="134" spans="1:8">
      <c r="A134" s="236">
        <v>47027</v>
      </c>
      <c r="B134" s="75">
        <v>2647.6013423035001</v>
      </c>
      <c r="C134" s="237">
        <v>47029.666666666664</v>
      </c>
      <c r="D134" s="75">
        <v>0</v>
      </c>
      <c r="E134" s="75">
        <v>35.125528161754666</v>
      </c>
      <c r="F134" s="75">
        <v>-20.187222236118551</v>
      </c>
      <c r="G134" s="75">
        <v>2647.6013423035006</v>
      </c>
      <c r="H134" s="56" t="str">
        <f t="shared" si="3"/>
        <v/>
      </c>
    </row>
    <row r="135" spans="1:8">
      <c r="A135" s="236">
        <v>47058</v>
      </c>
      <c r="B135" s="75">
        <v>3028.9102862123805</v>
      </c>
      <c r="C135" s="237">
        <v>47085.75</v>
      </c>
      <c r="D135" s="75">
        <v>0</v>
      </c>
      <c r="E135" s="75">
        <v>49.436671318201114</v>
      </c>
      <c r="F135" s="75">
        <v>-1.454850306786763E-3</v>
      </c>
      <c r="G135" s="75">
        <v>3028.9102862123805</v>
      </c>
      <c r="H135" s="56" t="str">
        <f t="shared" si="3"/>
        <v/>
      </c>
    </row>
    <row r="136" spans="1:8">
      <c r="A136" s="236">
        <v>47088</v>
      </c>
      <c r="B136" s="75">
        <v>3246.9480666921922</v>
      </c>
      <c r="C136" s="237">
        <v>47113.75</v>
      </c>
      <c r="D136" s="75">
        <v>0</v>
      </c>
      <c r="E136" s="75">
        <v>56.67352022516355</v>
      </c>
      <c r="F136" s="75">
        <v>0</v>
      </c>
      <c r="G136" s="75">
        <v>3246.9480666921918</v>
      </c>
      <c r="H136" s="56" t="str">
        <f t="shared" si="3"/>
        <v/>
      </c>
    </row>
    <row r="137" spans="1:8">
      <c r="A137" s="236">
        <v>47119</v>
      </c>
      <c r="B137" s="75">
        <v>3527.3986492988129</v>
      </c>
      <c r="C137" s="237">
        <v>47136.791666666664</v>
      </c>
      <c r="D137" s="75">
        <v>0</v>
      </c>
      <c r="E137" s="75">
        <v>56.085579028959131</v>
      </c>
      <c r="F137" s="75">
        <v>0</v>
      </c>
      <c r="G137" s="75">
        <v>3527.3986492988129</v>
      </c>
      <c r="H137" s="56" t="str">
        <f t="shared" si="3"/>
        <v/>
      </c>
    </row>
    <row r="138" spans="1:8">
      <c r="A138" s="236">
        <v>47150</v>
      </c>
      <c r="B138" s="75">
        <v>3279.1833976964881</v>
      </c>
      <c r="C138" s="237">
        <v>47154.791666666664</v>
      </c>
      <c r="D138" s="75">
        <v>0</v>
      </c>
      <c r="E138" s="75">
        <v>60.082945833315357</v>
      </c>
      <c r="F138" s="75">
        <v>0</v>
      </c>
      <c r="G138" s="75">
        <v>3279.1833976964876</v>
      </c>
      <c r="H138" s="56" t="str">
        <f t="shared" si="3"/>
        <v/>
      </c>
    </row>
    <row r="139" spans="1:8">
      <c r="A139" s="236">
        <v>47178</v>
      </c>
      <c r="B139" s="75">
        <v>2975.6378416836224</v>
      </c>
      <c r="C139" s="237">
        <v>47182.291666666664</v>
      </c>
      <c r="D139" s="75">
        <v>0</v>
      </c>
      <c r="E139" s="75">
        <v>15.519747590295992</v>
      </c>
      <c r="F139" s="75">
        <v>-0.65371358977608418</v>
      </c>
      <c r="G139" s="75">
        <v>2975.6378416836219</v>
      </c>
      <c r="H139" s="56" t="str">
        <f t="shared" si="3"/>
        <v/>
      </c>
    </row>
    <row r="140" spans="1:8">
      <c r="A140" s="236">
        <v>47209</v>
      </c>
      <c r="B140" s="75">
        <v>2578.4517185230015</v>
      </c>
      <c r="C140" s="237">
        <v>47210.333333333336</v>
      </c>
      <c r="D140" s="75">
        <v>0</v>
      </c>
      <c r="E140" s="75">
        <v>19.177227383560993</v>
      </c>
      <c r="F140" s="75">
        <v>-7.4259272673902155</v>
      </c>
      <c r="G140" s="75">
        <v>2578.451718523002</v>
      </c>
      <c r="H140" s="56" t="str">
        <f t="shared" si="3"/>
        <v/>
      </c>
    </row>
    <row r="141" spans="1:8">
      <c r="A141" s="236">
        <v>47239</v>
      </c>
      <c r="B141" s="75">
        <v>3278.0098011812388</v>
      </c>
      <c r="C141" s="237">
        <v>47268.708333333336</v>
      </c>
      <c r="D141" s="75">
        <v>0</v>
      </c>
      <c r="E141" s="75">
        <v>45.427693466882033</v>
      </c>
      <c r="F141" s="75">
        <v>-22.861317352799222</v>
      </c>
      <c r="G141" s="75">
        <v>3278.0098011812383</v>
      </c>
      <c r="H141" s="56" t="str">
        <f t="shared" si="3"/>
        <v/>
      </c>
    </row>
    <row r="142" spans="1:8">
      <c r="A142" s="236">
        <v>47270</v>
      </c>
      <c r="B142" s="75">
        <v>3715.7280798392353</v>
      </c>
      <c r="C142" s="237">
        <v>47294.708333333336</v>
      </c>
      <c r="D142" s="75">
        <v>0</v>
      </c>
      <c r="E142" s="75">
        <v>44.737363947460651</v>
      </c>
      <c r="F142" s="75">
        <v>-24.278791127548377</v>
      </c>
      <c r="G142" s="75">
        <v>3715.7280798392353</v>
      </c>
      <c r="H142" s="56" t="str">
        <f t="shared" si="3"/>
        <v/>
      </c>
    </row>
    <row r="143" spans="1:8">
      <c r="A143" s="236">
        <v>47300</v>
      </c>
      <c r="B143" s="75">
        <v>4020.7183796378868</v>
      </c>
      <c r="C143" s="237">
        <v>47318.666666666664</v>
      </c>
      <c r="D143" s="75">
        <v>0</v>
      </c>
      <c r="E143" s="75">
        <v>38.074734090292225</v>
      </c>
      <c r="F143" s="75">
        <v>-38.205552377855149</v>
      </c>
      <c r="G143" s="75">
        <v>4020.7183796378868</v>
      </c>
      <c r="H143" s="56">
        <f t="shared" si="3"/>
        <v>0</v>
      </c>
    </row>
    <row r="144" spans="1:8">
      <c r="A144" s="236">
        <v>47331</v>
      </c>
      <c r="B144" s="75">
        <v>3911.8223263439531</v>
      </c>
      <c r="C144" s="237">
        <v>47332.666666666664</v>
      </c>
      <c r="D144" s="75">
        <v>0</v>
      </c>
      <c r="E144" s="75">
        <v>37.244016457593951</v>
      </c>
      <c r="F144" s="75">
        <v>-36.69048236282304</v>
      </c>
      <c r="G144" s="75">
        <v>3911.8223263439531</v>
      </c>
      <c r="H144" s="56" t="str">
        <f t="shared" si="3"/>
        <v/>
      </c>
    </row>
    <row r="145" spans="1:8">
      <c r="A145" s="236">
        <v>47362</v>
      </c>
      <c r="B145" s="75">
        <v>3564.488160067755</v>
      </c>
      <c r="C145" s="237">
        <v>47365.666666666664</v>
      </c>
      <c r="D145" s="75">
        <v>0</v>
      </c>
      <c r="E145" s="75">
        <v>37.764402471469722</v>
      </c>
      <c r="F145" s="75">
        <v>-31.424292946749567</v>
      </c>
      <c r="G145" s="75">
        <v>3564.488160067755</v>
      </c>
      <c r="H145" s="56" t="str">
        <f t="shared" si="3"/>
        <v/>
      </c>
    </row>
    <row r="146" spans="1:8">
      <c r="A146" s="236">
        <v>47392</v>
      </c>
      <c r="B146" s="75">
        <v>2659.8584620149795</v>
      </c>
      <c r="C146" s="237">
        <v>47394.708333333336</v>
      </c>
      <c r="D146" s="75">
        <v>0</v>
      </c>
      <c r="E146" s="75">
        <v>57.762847540214018</v>
      </c>
      <c r="F146" s="75">
        <v>-12.370610629623314</v>
      </c>
      <c r="G146" s="75">
        <v>2659.8584620149791</v>
      </c>
      <c r="H146" s="56" t="str">
        <f t="shared" si="3"/>
        <v/>
      </c>
    </row>
    <row r="147" spans="1:8">
      <c r="A147" s="236">
        <v>47423</v>
      </c>
      <c r="B147" s="75">
        <v>3043.9362053812074</v>
      </c>
      <c r="C147" s="237">
        <v>47450.75</v>
      </c>
      <c r="D147" s="75">
        <v>0</v>
      </c>
      <c r="E147" s="75">
        <v>69.285228326153444</v>
      </c>
      <c r="F147" s="75">
        <v>-1.7644187607061663E-3</v>
      </c>
      <c r="G147" s="75">
        <v>3043.9362053812074</v>
      </c>
      <c r="H147" s="56" t="str">
        <f t="shared" si="3"/>
        <v/>
      </c>
    </row>
    <row r="148" spans="1:8">
      <c r="A148" s="236">
        <v>47453</v>
      </c>
      <c r="B148" s="75">
        <v>3280.1128595605478</v>
      </c>
      <c r="C148" s="237">
        <v>47471.75</v>
      </c>
      <c r="D148" s="75">
        <v>0</v>
      </c>
      <c r="E148" s="75">
        <v>78.912897357717938</v>
      </c>
      <c r="F148" s="75">
        <v>0</v>
      </c>
      <c r="G148" s="75">
        <v>3280.1128595605478</v>
      </c>
      <c r="H148" s="56" t="str">
        <f t="shared" si="3"/>
        <v/>
      </c>
    </row>
    <row r="149" spans="1:8">
      <c r="A149" s="236">
        <v>47484</v>
      </c>
      <c r="B149" s="75">
        <v>3545.5760138247738</v>
      </c>
      <c r="C149" s="237">
        <v>47504.791666666664</v>
      </c>
      <c r="D149" s="75">
        <v>0</v>
      </c>
      <c r="E149" s="75">
        <v>79.925169542924692</v>
      </c>
      <c r="F149" s="75">
        <v>0</v>
      </c>
      <c r="G149" s="75">
        <v>3545.5760138247733</v>
      </c>
      <c r="H149" s="56" t="str">
        <f t="shared" si="3"/>
        <v/>
      </c>
    </row>
    <row r="150" spans="1:8">
      <c r="A150" s="236">
        <v>47515</v>
      </c>
      <c r="B150" s="75">
        <v>3283.2835846558587</v>
      </c>
      <c r="C150" s="237">
        <v>47519.791666666664</v>
      </c>
      <c r="D150" s="75">
        <v>0</v>
      </c>
      <c r="E150" s="75">
        <v>84.811309214792729</v>
      </c>
      <c r="F150" s="75">
        <v>0</v>
      </c>
      <c r="G150" s="75">
        <v>3283.2835846558587</v>
      </c>
      <c r="H150" s="56" t="str">
        <f t="shared" si="3"/>
        <v/>
      </c>
    </row>
    <row r="151" spans="1:8">
      <c r="A151" s="236">
        <v>47543</v>
      </c>
      <c r="B151" s="75">
        <v>2979.375568188977</v>
      </c>
      <c r="C151" s="237">
        <v>47546.291666666664</v>
      </c>
      <c r="D151" s="75">
        <v>0</v>
      </c>
      <c r="E151" s="75">
        <v>22.665819221004199</v>
      </c>
      <c r="F151" s="75">
        <v>-0.78486835189838666</v>
      </c>
      <c r="G151" s="75">
        <v>2979.3755681889766</v>
      </c>
      <c r="H151" s="56" t="str">
        <f t="shared" si="3"/>
        <v/>
      </c>
    </row>
    <row r="152" spans="1:8">
      <c r="A152" s="236">
        <v>47574</v>
      </c>
      <c r="B152" s="75">
        <v>2589.6666638639954</v>
      </c>
      <c r="C152" s="237">
        <v>47574.833333333336</v>
      </c>
      <c r="D152" s="75">
        <v>0</v>
      </c>
      <c r="E152" s="75">
        <v>75.159362539579121</v>
      </c>
      <c r="F152" s="75">
        <v>-6.6366669649097626E-2</v>
      </c>
      <c r="G152" s="75">
        <v>2589.6666638639949</v>
      </c>
      <c r="H152" s="56" t="str">
        <f t="shared" si="3"/>
        <v/>
      </c>
    </row>
    <row r="153" spans="1:8">
      <c r="A153" s="236">
        <v>47604</v>
      </c>
      <c r="B153" s="75">
        <v>3285.6595103684695</v>
      </c>
      <c r="C153" s="237">
        <v>47633.708333333336</v>
      </c>
      <c r="D153" s="75">
        <v>0</v>
      </c>
      <c r="E153" s="75">
        <v>62.917096841949309</v>
      </c>
      <c r="F153" s="75">
        <v>-27.305266939200397</v>
      </c>
      <c r="G153" s="75">
        <v>3285.6595103684695</v>
      </c>
      <c r="H153" s="56" t="str">
        <f t="shared" si="3"/>
        <v/>
      </c>
    </row>
    <row r="154" spans="1:8">
      <c r="A154" s="236">
        <v>47635</v>
      </c>
      <c r="B154" s="75">
        <v>3730.2552512140287</v>
      </c>
      <c r="C154" s="237">
        <v>47659.708333333336</v>
      </c>
      <c r="D154" s="75">
        <v>0</v>
      </c>
      <c r="E154" s="75">
        <v>60.793330797490697</v>
      </c>
      <c r="F154" s="75">
        <v>-28.955754411151908</v>
      </c>
      <c r="G154" s="75">
        <v>3730.2552512140287</v>
      </c>
      <c r="H154" s="56" t="str">
        <f t="shared" si="3"/>
        <v/>
      </c>
    </row>
    <row r="155" spans="1:8">
      <c r="A155" s="236">
        <v>47665</v>
      </c>
      <c r="B155" s="75">
        <v>4028.0302387399329</v>
      </c>
      <c r="C155" s="237">
        <v>47683.666666666664</v>
      </c>
      <c r="D155" s="75">
        <v>0</v>
      </c>
      <c r="E155" s="75">
        <v>51.378882810151424</v>
      </c>
      <c r="F155" s="75">
        <v>-45.50532123103909</v>
      </c>
      <c r="G155" s="75">
        <v>4028.0302387399329</v>
      </c>
      <c r="H155" s="56">
        <f t="shared" si="3"/>
        <v>0</v>
      </c>
    </row>
    <row r="156" spans="1:8">
      <c r="A156" s="236">
        <v>47696</v>
      </c>
      <c r="B156" s="75">
        <v>3919.2527131480592</v>
      </c>
      <c r="C156" s="237">
        <v>47697.666666666664</v>
      </c>
      <c r="D156" s="75">
        <v>0</v>
      </c>
      <c r="E156" s="75">
        <v>50.559776224415934</v>
      </c>
      <c r="F156" s="75">
        <v>-43.639110665601294</v>
      </c>
      <c r="G156" s="75">
        <v>3919.2527131480592</v>
      </c>
      <c r="H156" s="56" t="str">
        <f t="shared" si="3"/>
        <v/>
      </c>
    </row>
    <row r="157" spans="1:8">
      <c r="A157" s="236">
        <v>47727</v>
      </c>
      <c r="B157" s="75">
        <v>3581.1180683972734</v>
      </c>
      <c r="C157" s="237">
        <v>47728.708333333336</v>
      </c>
      <c r="D157" s="75">
        <v>0</v>
      </c>
      <c r="E157" s="75">
        <v>60.085056932763308</v>
      </c>
      <c r="F157" s="75">
        <v>-23.077097888193315</v>
      </c>
      <c r="G157" s="75">
        <v>3581.1180683972739</v>
      </c>
      <c r="H157" s="56" t="str">
        <f t="shared" si="3"/>
        <v/>
      </c>
    </row>
    <row r="158" spans="1:8">
      <c r="A158" s="236">
        <v>47757</v>
      </c>
      <c r="B158" s="75">
        <v>2669.1402284521132</v>
      </c>
      <c r="C158" s="237">
        <v>47759.708333333336</v>
      </c>
      <c r="D158" s="75">
        <v>0</v>
      </c>
      <c r="E158" s="75">
        <v>78.560343749940017</v>
      </c>
      <c r="F158" s="75">
        <v>-14.669036908935519</v>
      </c>
      <c r="G158" s="75">
        <v>2669.1402284521137</v>
      </c>
      <c r="H158" s="56" t="str">
        <f t="shared" si="3"/>
        <v/>
      </c>
    </row>
    <row r="159" spans="1:8">
      <c r="A159" s="236">
        <v>47788</v>
      </c>
      <c r="B159" s="75">
        <v>3029.5541614415465</v>
      </c>
      <c r="C159" s="237">
        <v>47814.75</v>
      </c>
      <c r="D159" s="75">
        <v>0</v>
      </c>
      <c r="E159" s="75">
        <v>94.710254525395982</v>
      </c>
      <c r="F159" s="75">
        <v>-2.0901009807700699E-3</v>
      </c>
      <c r="G159" s="75">
        <v>3029.5541614415465</v>
      </c>
      <c r="H159" s="56" t="str">
        <f t="shared" si="3"/>
        <v/>
      </c>
    </row>
    <row r="160" spans="1:8">
      <c r="A160" s="236">
        <v>47818</v>
      </c>
      <c r="B160" s="75">
        <v>3278.9015924120836</v>
      </c>
      <c r="C160" s="237">
        <v>47836.75</v>
      </c>
      <c r="D160" s="75">
        <v>0</v>
      </c>
      <c r="E160" s="75">
        <v>106.71291043570356</v>
      </c>
      <c r="F160" s="75">
        <v>0</v>
      </c>
      <c r="G160" s="75">
        <v>3278.9015924120836</v>
      </c>
      <c r="H160" s="56" t="str">
        <f t="shared" si="3"/>
        <v/>
      </c>
    </row>
    <row r="161" spans="1:8">
      <c r="A161" s="236">
        <v>47849</v>
      </c>
      <c r="B161" s="75">
        <v>3512.9978210670592</v>
      </c>
      <c r="C161" s="237">
        <v>47869.791666666664</v>
      </c>
      <c r="D161" s="75">
        <v>0</v>
      </c>
      <c r="E161" s="75">
        <v>112.63771103587591</v>
      </c>
      <c r="F161" s="75">
        <v>0</v>
      </c>
      <c r="G161" s="75">
        <v>3512.9978210670592</v>
      </c>
      <c r="H161" s="56" t="str">
        <f t="shared" si="3"/>
        <v/>
      </c>
    </row>
    <row r="162" spans="1:8">
      <c r="A162" s="236">
        <v>47880</v>
      </c>
      <c r="B162" s="75">
        <v>3291.3915494608927</v>
      </c>
      <c r="C162" s="237">
        <v>47884.791666666664</v>
      </c>
      <c r="D162" s="75">
        <v>0</v>
      </c>
      <c r="E162" s="75">
        <v>118.58045598135395</v>
      </c>
      <c r="F162" s="75">
        <v>0</v>
      </c>
      <c r="G162" s="75">
        <v>3291.3915494608923</v>
      </c>
      <c r="H162" s="56" t="str">
        <f t="shared" si="3"/>
        <v/>
      </c>
    </row>
    <row r="163" spans="1:8">
      <c r="A163" s="236">
        <v>47908</v>
      </c>
      <c r="B163" s="75">
        <v>2986.3596858495662</v>
      </c>
      <c r="C163" s="237">
        <v>47911.291666666664</v>
      </c>
      <c r="D163" s="75">
        <v>0</v>
      </c>
      <c r="E163" s="75">
        <v>32.931040285795682</v>
      </c>
      <c r="F163" s="75">
        <v>-0.92617797479135511</v>
      </c>
      <c r="G163" s="75">
        <v>2986.3596858495662</v>
      </c>
      <c r="H163" s="56" t="str">
        <f t="shared" si="3"/>
        <v/>
      </c>
    </row>
    <row r="164" spans="1:8">
      <c r="A164" s="236">
        <v>47939</v>
      </c>
      <c r="B164" s="75">
        <v>2595.1290780358358</v>
      </c>
      <c r="C164" s="237">
        <v>47940.333333333336</v>
      </c>
      <c r="D164" s="75">
        <v>0</v>
      </c>
      <c r="E164" s="75">
        <v>39.714002811487099</v>
      </c>
      <c r="F164" s="75">
        <v>-10.473888114364053</v>
      </c>
      <c r="G164" s="75">
        <v>2595.1290780358358</v>
      </c>
      <c r="H164" s="56" t="str">
        <f t="shared" si="3"/>
        <v/>
      </c>
    </row>
    <row r="165" spans="1:8">
      <c r="A165" s="236">
        <v>47969</v>
      </c>
      <c r="B165" s="75">
        <v>3291.624888637326</v>
      </c>
      <c r="C165" s="237">
        <v>47998.666666666664</v>
      </c>
      <c r="D165" s="75">
        <v>0</v>
      </c>
      <c r="E165" s="75">
        <v>72.348433624870808</v>
      </c>
      <c r="F165" s="75">
        <v>-44.745437574194405</v>
      </c>
      <c r="G165" s="75">
        <v>3291.6248886373264</v>
      </c>
      <c r="H165" s="56" t="str">
        <f t="shared" si="3"/>
        <v/>
      </c>
    </row>
    <row r="166" spans="1:8">
      <c r="A166" s="236">
        <v>48000</v>
      </c>
      <c r="B166" s="75">
        <v>3744.0831234710508</v>
      </c>
      <c r="C166" s="237">
        <v>48024.708333333336</v>
      </c>
      <c r="D166" s="75">
        <v>0</v>
      </c>
      <c r="E166" s="75">
        <v>83.218484681448771</v>
      </c>
      <c r="F166" s="75">
        <v>-34.025704152872059</v>
      </c>
      <c r="G166" s="75">
        <v>3744.0831234710504</v>
      </c>
      <c r="H166" s="56" t="str">
        <f t="shared" si="3"/>
        <v/>
      </c>
    </row>
    <row r="167" spans="1:8">
      <c r="A167" s="236">
        <v>48030</v>
      </c>
      <c r="B167" s="75">
        <v>4042.4106355128965</v>
      </c>
      <c r="C167" s="237">
        <v>48047.666666666664</v>
      </c>
      <c r="D167" s="75">
        <v>0</v>
      </c>
      <c r="E167" s="75">
        <v>70.561387942332004</v>
      </c>
      <c r="F167" s="75">
        <v>-53.38428610957714</v>
      </c>
      <c r="G167" s="75">
        <v>4042.410635512897</v>
      </c>
      <c r="H167" s="56">
        <f t="shared" si="3"/>
        <v>-4.5474735088646412E-13</v>
      </c>
    </row>
    <row r="168" spans="1:8">
      <c r="A168" s="236">
        <v>48061</v>
      </c>
      <c r="B168" s="75">
        <v>3933.3854221402589</v>
      </c>
      <c r="C168" s="237">
        <v>48064.666666666664</v>
      </c>
      <c r="D168" s="75">
        <v>0</v>
      </c>
      <c r="E168" s="75">
        <v>69.563893453259581</v>
      </c>
      <c r="F168" s="75">
        <v>-51.114878509942422</v>
      </c>
      <c r="G168" s="75">
        <v>3933.3854221402589</v>
      </c>
      <c r="H168" s="56" t="str">
        <f t="shared" si="3"/>
        <v/>
      </c>
    </row>
    <row r="169" spans="1:8">
      <c r="A169" s="236">
        <v>48092</v>
      </c>
      <c r="B169" s="75">
        <v>3587.1288432965544</v>
      </c>
      <c r="C169" s="237">
        <v>48093.708333333336</v>
      </c>
      <c r="D169" s="75">
        <v>0</v>
      </c>
      <c r="E169" s="75">
        <v>81.837825642605964</v>
      </c>
      <c r="F169" s="75">
        <v>-26.98095543083604</v>
      </c>
      <c r="G169" s="75">
        <v>3587.1288432965544</v>
      </c>
      <c r="H169" s="56" t="str">
        <f t="shared" si="3"/>
        <v/>
      </c>
    </row>
    <row r="170" spans="1:8">
      <c r="A170" s="236">
        <v>48122</v>
      </c>
      <c r="B170" s="75">
        <v>2679.7742698143343</v>
      </c>
      <c r="C170" s="237">
        <v>48124.666666666664</v>
      </c>
      <c r="D170" s="75">
        <v>0</v>
      </c>
      <c r="E170" s="75">
        <v>90.459555787306854</v>
      </c>
      <c r="F170" s="75">
        <v>-33.986080666527613</v>
      </c>
      <c r="G170" s="75">
        <v>2679.7742698143338</v>
      </c>
      <c r="H170" s="56" t="str">
        <f t="shared" si="3"/>
        <v/>
      </c>
    </row>
    <row r="171" spans="1:8">
      <c r="A171" s="236">
        <v>48153</v>
      </c>
      <c r="B171" s="75">
        <v>3029.386527015778</v>
      </c>
      <c r="C171" s="237">
        <v>48176.75</v>
      </c>
      <c r="D171" s="75">
        <v>0</v>
      </c>
      <c r="E171" s="75">
        <v>128.63984484998772</v>
      </c>
      <c r="F171" s="75">
        <v>-2.4366862546446764E-3</v>
      </c>
      <c r="G171" s="75">
        <v>3029.386527015778</v>
      </c>
      <c r="H171" s="56" t="str">
        <f t="shared" si="3"/>
        <v/>
      </c>
    </row>
    <row r="172" spans="1:8">
      <c r="A172" s="236">
        <v>48183</v>
      </c>
      <c r="B172" s="75">
        <v>3288.9635747045613</v>
      </c>
      <c r="C172" s="237">
        <v>48200.75</v>
      </c>
      <c r="D172" s="75">
        <v>0</v>
      </c>
      <c r="E172" s="75">
        <v>143.43442977997381</v>
      </c>
      <c r="F172" s="75">
        <v>0</v>
      </c>
      <c r="G172" s="75">
        <v>3288.9635747045613</v>
      </c>
      <c r="H172" s="56" t="str">
        <f t="shared" si="3"/>
        <v/>
      </c>
    </row>
    <row r="173" spans="1:8">
      <c r="A173" s="236">
        <v>48214</v>
      </c>
      <c r="B173" s="75">
        <v>3518.1805723913799</v>
      </c>
      <c r="C173" s="237">
        <v>48234.791666666664</v>
      </c>
      <c r="D173" s="75">
        <v>0</v>
      </c>
      <c r="E173" s="75">
        <v>152.34432499929545</v>
      </c>
      <c r="F173" s="75">
        <v>0</v>
      </c>
      <c r="G173" s="75">
        <v>3518.1805723913799</v>
      </c>
      <c r="H173" s="56" t="str">
        <f t="shared" si="3"/>
        <v/>
      </c>
    </row>
    <row r="174" spans="1:8">
      <c r="A174" s="236">
        <v>48245</v>
      </c>
      <c r="B174" s="75">
        <v>3329.2598464481471</v>
      </c>
      <c r="C174" s="237">
        <v>48249.791666666664</v>
      </c>
      <c r="D174" s="75">
        <v>0</v>
      </c>
      <c r="E174" s="75">
        <v>153.33337509057719</v>
      </c>
      <c r="F174" s="75">
        <v>0</v>
      </c>
      <c r="G174" s="75">
        <v>3329.2598464481471</v>
      </c>
      <c r="H174" s="56" t="str">
        <f t="shared" si="3"/>
        <v/>
      </c>
    </row>
    <row r="175" spans="1:8">
      <c r="A175" s="236">
        <v>48274</v>
      </c>
      <c r="B175" s="75">
        <v>2997.5971417836886</v>
      </c>
      <c r="C175" s="237">
        <v>48277.291666666664</v>
      </c>
      <c r="D175" s="75">
        <v>0</v>
      </c>
      <c r="E175" s="75">
        <v>45.838302309473768</v>
      </c>
      <c r="F175" s="75">
        <v>-1.0730105019680576</v>
      </c>
      <c r="G175" s="75">
        <v>2997.5971417836881</v>
      </c>
      <c r="H175" s="56" t="str">
        <f t="shared" si="3"/>
        <v/>
      </c>
    </row>
    <row r="176" spans="1:8">
      <c r="A176" s="236">
        <v>48305</v>
      </c>
      <c r="B176" s="75">
        <v>2638.5564108027434</v>
      </c>
      <c r="C176" s="237">
        <v>48305.833333333336</v>
      </c>
      <c r="D176" s="75">
        <v>0</v>
      </c>
      <c r="E176" s="75">
        <v>139.88567160826938</v>
      </c>
      <c r="F176" s="75">
        <v>-9.0390694457619838E-2</v>
      </c>
      <c r="G176" s="75">
        <v>2638.5564108027434</v>
      </c>
      <c r="H176" s="56" t="str">
        <f t="shared" si="3"/>
        <v/>
      </c>
    </row>
    <row r="177" spans="1:8">
      <c r="A177" s="236">
        <v>48335</v>
      </c>
      <c r="B177" s="75">
        <v>3343.7041780342347</v>
      </c>
      <c r="C177" s="237">
        <v>48365.708333333336</v>
      </c>
      <c r="D177" s="75">
        <v>0</v>
      </c>
      <c r="E177" s="75">
        <v>115.91519292854169</v>
      </c>
      <c r="F177" s="75">
        <v>-37.09474166908511</v>
      </c>
      <c r="G177" s="75">
        <v>3343.7041780342352</v>
      </c>
      <c r="H177" s="56" t="str">
        <f t="shared" si="3"/>
        <v/>
      </c>
    </row>
    <row r="178" spans="1:8">
      <c r="A178" s="236">
        <v>48366</v>
      </c>
      <c r="B178" s="75">
        <v>3773.7132451954726</v>
      </c>
      <c r="C178" s="237">
        <v>48386.708333333336</v>
      </c>
      <c r="D178" s="75">
        <v>0</v>
      </c>
      <c r="E178" s="75">
        <v>109.3792290382397</v>
      </c>
      <c r="F178" s="75">
        <v>-39.214310223593564</v>
      </c>
      <c r="G178" s="75">
        <v>3773.7132451954731</v>
      </c>
      <c r="H178" s="56" t="str">
        <f t="shared" si="3"/>
        <v/>
      </c>
    </row>
    <row r="179" spans="1:8">
      <c r="A179" s="236">
        <v>48396</v>
      </c>
      <c r="B179" s="75">
        <v>4075.7727992647506</v>
      </c>
      <c r="C179" s="237">
        <v>48414.708333333336</v>
      </c>
      <c r="D179" s="75">
        <v>0</v>
      </c>
      <c r="E179" s="75">
        <v>110.13816928971374</v>
      </c>
      <c r="F179" s="75">
        <v>-45.122458269318592</v>
      </c>
      <c r="G179" s="75">
        <v>4075.772799264751</v>
      </c>
      <c r="H179" s="56">
        <f t="shared" si="3"/>
        <v>-4.5474735088646412E-13</v>
      </c>
    </row>
    <row r="180" spans="1:8">
      <c r="A180" s="236">
        <v>48427</v>
      </c>
      <c r="B180" s="75">
        <v>3951.8926465270583</v>
      </c>
      <c r="C180" s="237">
        <v>48430.708333333336</v>
      </c>
      <c r="D180" s="75">
        <v>0</v>
      </c>
      <c r="E180" s="75">
        <v>111.65499424293799</v>
      </c>
      <c r="F180" s="75">
        <v>-38.974136950491342</v>
      </c>
      <c r="G180" s="75">
        <v>3951.8926465270579</v>
      </c>
      <c r="H180" s="56" t="str">
        <f t="shared" si="3"/>
        <v/>
      </c>
    </row>
    <row r="181" spans="1:8">
      <c r="A181" s="236">
        <v>48458</v>
      </c>
      <c r="B181" s="75">
        <v>3601.7146521614677</v>
      </c>
      <c r="C181" s="237">
        <v>48459.666666666664</v>
      </c>
      <c r="D181" s="75">
        <v>0</v>
      </c>
      <c r="E181" s="75">
        <v>91.009497193451509</v>
      </c>
      <c r="F181" s="75">
        <v>-50.022693387007415</v>
      </c>
      <c r="G181" s="75">
        <v>3601.7146521614673</v>
      </c>
      <c r="H181" s="56" t="str">
        <f t="shared" si="3"/>
        <v/>
      </c>
    </row>
    <row r="182" spans="1:8">
      <c r="A182" s="236">
        <v>48488</v>
      </c>
      <c r="B182" s="75">
        <v>2742.8832820015996</v>
      </c>
      <c r="C182" s="237">
        <v>48491.791666666664</v>
      </c>
      <c r="D182" s="75">
        <v>0</v>
      </c>
      <c r="E182" s="75">
        <v>165.92924994570851</v>
      </c>
      <c r="F182" s="75">
        <v>0</v>
      </c>
      <c r="G182" s="75">
        <v>2742.8832820015996</v>
      </c>
      <c r="H182" s="56" t="str">
        <f t="shared" si="3"/>
        <v/>
      </c>
    </row>
    <row r="183" spans="1:8">
      <c r="A183" s="236">
        <v>48519</v>
      </c>
      <c r="B183" s="75">
        <v>3133.7344410822761</v>
      </c>
      <c r="C183" s="237">
        <v>48540.791666666664</v>
      </c>
      <c r="D183" s="75">
        <v>0</v>
      </c>
      <c r="E183" s="75">
        <v>178.55679129255734</v>
      </c>
      <c r="F183" s="75">
        <v>0</v>
      </c>
      <c r="G183" s="75">
        <v>3133.7344410822761</v>
      </c>
      <c r="H183" s="56" t="str">
        <f t="shared" si="3"/>
        <v/>
      </c>
    </row>
    <row r="184" spans="1:8">
      <c r="A184" s="236">
        <v>48549</v>
      </c>
      <c r="B184" s="75">
        <v>3378.2276601816848</v>
      </c>
      <c r="C184" s="237">
        <v>48568.75</v>
      </c>
      <c r="D184" s="75">
        <v>0</v>
      </c>
      <c r="E184" s="75">
        <v>185.97202810285592</v>
      </c>
      <c r="F184" s="75">
        <v>0</v>
      </c>
      <c r="G184" s="75">
        <v>3378.2276601816848</v>
      </c>
      <c r="H184" s="56" t="str">
        <f t="shared" si="3"/>
        <v/>
      </c>
    </row>
    <row r="185" spans="1:8">
      <c r="A185" s="236">
        <v>48580</v>
      </c>
      <c r="B185" s="75">
        <v>3535.0301810829319</v>
      </c>
      <c r="C185" s="237">
        <v>48597.791666666664</v>
      </c>
      <c r="D185" s="75">
        <v>0</v>
      </c>
      <c r="E185" s="75">
        <v>197.92929537503667</v>
      </c>
      <c r="F185" s="75">
        <v>0</v>
      </c>
      <c r="G185" s="75">
        <v>3535.0301810829319</v>
      </c>
      <c r="H185" s="56" t="str">
        <f t="shared" si="3"/>
        <v/>
      </c>
    </row>
    <row r="186" spans="1:8">
      <c r="A186" s="236">
        <v>48611</v>
      </c>
      <c r="B186" s="75">
        <v>3368.9476567578208</v>
      </c>
      <c r="C186" s="237">
        <v>48618.791666666664</v>
      </c>
      <c r="D186" s="75">
        <v>0</v>
      </c>
      <c r="E186" s="75">
        <v>205.14503328752173</v>
      </c>
      <c r="F186" s="75">
        <v>0</v>
      </c>
      <c r="G186" s="75">
        <v>3368.9476567578208</v>
      </c>
      <c r="H186" s="56" t="str">
        <f t="shared" si="3"/>
        <v/>
      </c>
    </row>
    <row r="187" spans="1:8">
      <c r="A187" s="236">
        <v>48639</v>
      </c>
      <c r="B187" s="75">
        <v>3019.18748154888</v>
      </c>
      <c r="C187" s="237">
        <v>48641.833333333336</v>
      </c>
      <c r="D187" s="75">
        <v>0</v>
      </c>
      <c r="E187" s="75">
        <v>187.91212849535887</v>
      </c>
      <c r="F187" s="75">
        <v>0</v>
      </c>
      <c r="G187" s="75">
        <v>3019.18748154888</v>
      </c>
      <c r="H187" s="56" t="str">
        <f t="shared" si="3"/>
        <v/>
      </c>
    </row>
    <row r="188" spans="1:8">
      <c r="A188" s="236">
        <v>48670</v>
      </c>
      <c r="B188" s="75">
        <v>2646.1389188024082</v>
      </c>
      <c r="C188" s="237">
        <v>48674.833333333336</v>
      </c>
      <c r="D188" s="75">
        <v>0</v>
      </c>
      <c r="E188" s="75">
        <v>179.73795143358529</v>
      </c>
      <c r="F188" s="75">
        <v>-0.10255465908061875</v>
      </c>
      <c r="G188" s="75">
        <v>2646.1389188024086</v>
      </c>
      <c r="H188" s="56" t="str">
        <f t="shared" si="3"/>
        <v/>
      </c>
    </row>
    <row r="189" spans="1:8">
      <c r="A189" s="236">
        <v>48700</v>
      </c>
      <c r="B189" s="75">
        <v>3369.8181176327525</v>
      </c>
      <c r="C189" s="237">
        <v>48730.708333333336</v>
      </c>
      <c r="D189" s="75">
        <v>0</v>
      </c>
      <c r="E189" s="75">
        <v>147.03385433842533</v>
      </c>
      <c r="F189" s="75">
        <v>-42.021690652525621</v>
      </c>
      <c r="G189" s="75">
        <v>3369.818117632753</v>
      </c>
      <c r="H189" s="56" t="str">
        <f t="shared" si="3"/>
        <v/>
      </c>
    </row>
    <row r="190" spans="1:8">
      <c r="A190" s="236">
        <v>48731</v>
      </c>
      <c r="B190" s="75">
        <v>3807.3105134468142</v>
      </c>
      <c r="C190" s="237">
        <v>48751.708333333336</v>
      </c>
      <c r="D190" s="75">
        <v>0</v>
      </c>
      <c r="E190" s="75">
        <v>138.55567895617307</v>
      </c>
      <c r="F190" s="75">
        <v>-44.355930238856736</v>
      </c>
      <c r="G190" s="75">
        <v>3807.3105134468137</v>
      </c>
      <c r="H190" s="56" t="str">
        <f t="shared" si="3"/>
        <v/>
      </c>
    </row>
    <row r="191" spans="1:8">
      <c r="A191" s="236">
        <v>48761</v>
      </c>
      <c r="B191" s="75">
        <v>4112.8649506433221</v>
      </c>
      <c r="C191" s="237">
        <v>48779.708333333336</v>
      </c>
      <c r="D191" s="75">
        <v>0</v>
      </c>
      <c r="E191" s="75">
        <v>139.51728475463287</v>
      </c>
      <c r="F191" s="75">
        <v>-50.960953832535729</v>
      </c>
      <c r="G191" s="75">
        <v>4112.8649506433203</v>
      </c>
      <c r="H191" s="56">
        <f t="shared" si="3"/>
        <v>1.8189894035458565E-12</v>
      </c>
    </row>
    <row r="192" spans="1:8">
      <c r="A192" s="236">
        <v>48792</v>
      </c>
      <c r="B192" s="75">
        <v>3980.3071694043715</v>
      </c>
      <c r="C192" s="237">
        <v>48795.708333333336</v>
      </c>
      <c r="D192" s="75">
        <v>0</v>
      </c>
      <c r="E192" s="75">
        <v>140.22872526853195</v>
      </c>
      <c r="F192" s="75">
        <v>-43.95283323710899</v>
      </c>
      <c r="G192" s="75">
        <v>3980.307169404372</v>
      </c>
      <c r="H192" s="56" t="str">
        <f t="shared" si="3"/>
        <v/>
      </c>
    </row>
    <row r="193" spans="1:8">
      <c r="A193" s="236">
        <v>48823</v>
      </c>
      <c r="B193" s="75">
        <v>3623.7330428449709</v>
      </c>
      <c r="C193" s="237">
        <v>48824.666666666664</v>
      </c>
      <c r="D193" s="75">
        <v>0</v>
      </c>
      <c r="E193" s="75">
        <v>114.75514378199099</v>
      </c>
      <c r="F193" s="75">
        <v>-56.315349106341735</v>
      </c>
      <c r="G193" s="75">
        <v>3623.7330428449709</v>
      </c>
      <c r="H193" s="56" t="str">
        <f t="shared" si="3"/>
        <v/>
      </c>
    </row>
    <row r="194" spans="1:8">
      <c r="A194" s="236">
        <v>48853</v>
      </c>
      <c r="B194" s="75">
        <v>2773.5265960718275</v>
      </c>
      <c r="C194" s="237">
        <v>48855.791666666664</v>
      </c>
      <c r="D194" s="75">
        <v>0</v>
      </c>
      <c r="E194" s="75">
        <v>208.83945732112227</v>
      </c>
      <c r="F194" s="75">
        <v>0</v>
      </c>
      <c r="G194" s="75">
        <v>2773.5265960718275</v>
      </c>
      <c r="H194" s="56" t="str">
        <f t="shared" si="3"/>
        <v/>
      </c>
    </row>
    <row r="195" spans="1:8">
      <c r="A195" s="236">
        <v>48884</v>
      </c>
      <c r="B195" s="75">
        <v>3184.2666036253145</v>
      </c>
      <c r="C195" s="237">
        <v>48911.791666666664</v>
      </c>
      <c r="D195" s="75">
        <v>0</v>
      </c>
      <c r="E195" s="75">
        <v>224.00981795281231</v>
      </c>
      <c r="F195" s="75">
        <v>0</v>
      </c>
      <c r="G195" s="75">
        <v>3184.2666036253145</v>
      </c>
      <c r="H195" s="56" t="str">
        <f t="shared" ref="H195:H258" si="4">IF(MONTH(A195)=7,B195-G195,"")</f>
        <v/>
      </c>
    </row>
    <row r="196" spans="1:8">
      <c r="A196" s="236">
        <v>48914</v>
      </c>
      <c r="B196" s="75">
        <v>3429.9352537541936</v>
      </c>
      <c r="C196" s="237">
        <v>48932.75</v>
      </c>
      <c r="D196" s="75">
        <v>0</v>
      </c>
      <c r="E196" s="75">
        <v>232.51965982678092</v>
      </c>
      <c r="F196" s="75">
        <v>0</v>
      </c>
      <c r="G196" s="75">
        <v>3429.9352537541931</v>
      </c>
      <c r="H196" s="56" t="str">
        <f t="shared" si="4"/>
        <v/>
      </c>
    </row>
    <row r="197" spans="1:8">
      <c r="A197" s="236">
        <v>48945</v>
      </c>
      <c r="B197" s="75">
        <v>3681.2302566661606</v>
      </c>
      <c r="C197" s="237">
        <v>48962.791666666664</v>
      </c>
      <c r="D197" s="75">
        <v>0</v>
      </c>
      <c r="E197" s="75">
        <v>246.47719382572552</v>
      </c>
      <c r="F197" s="75">
        <v>0</v>
      </c>
      <c r="G197" s="75">
        <v>3681.2302566661606</v>
      </c>
      <c r="H197" s="56" t="str">
        <f t="shared" si="4"/>
        <v/>
      </c>
    </row>
    <row r="198" spans="1:8">
      <c r="A198" s="236">
        <v>48976</v>
      </c>
      <c r="B198" s="75">
        <v>3421.6188327216232</v>
      </c>
      <c r="C198" s="237">
        <v>48988.791666666664</v>
      </c>
      <c r="D198" s="75">
        <v>0</v>
      </c>
      <c r="E198" s="75">
        <v>254.76325915823134</v>
      </c>
      <c r="F198" s="75">
        <v>0</v>
      </c>
      <c r="G198" s="75">
        <v>3421.6188327216232</v>
      </c>
      <c r="H198" s="56" t="str">
        <f t="shared" si="4"/>
        <v/>
      </c>
    </row>
    <row r="199" spans="1:8">
      <c r="A199" s="236">
        <v>49004</v>
      </c>
      <c r="B199" s="75">
        <v>3032.4950951647493</v>
      </c>
      <c r="C199" s="237">
        <v>49006.333333333336</v>
      </c>
      <c r="D199" s="75">
        <v>0</v>
      </c>
      <c r="E199" s="75">
        <v>100.32366795702178</v>
      </c>
      <c r="F199" s="75">
        <v>-12.396593445370875</v>
      </c>
      <c r="G199" s="75">
        <v>3032.4950951647488</v>
      </c>
      <c r="H199" s="56" t="str">
        <f t="shared" si="4"/>
        <v/>
      </c>
    </row>
    <row r="200" spans="1:8">
      <c r="A200" s="236">
        <v>49035</v>
      </c>
      <c r="B200" s="75">
        <v>2680.1747706219635</v>
      </c>
      <c r="C200" s="237">
        <v>49039.833333333336</v>
      </c>
      <c r="D200" s="75">
        <v>0</v>
      </c>
      <c r="E200" s="75">
        <v>222.63654776203677</v>
      </c>
      <c r="F200" s="75">
        <v>-0.11434290571557379</v>
      </c>
      <c r="G200" s="75">
        <v>2680.1747706219626</v>
      </c>
      <c r="H200" s="56" t="str">
        <f t="shared" si="4"/>
        <v/>
      </c>
    </row>
    <row r="201" spans="1:8">
      <c r="A201" s="236">
        <v>49065</v>
      </c>
      <c r="B201" s="75">
        <v>3408.762396572793</v>
      </c>
      <c r="C201" s="237">
        <v>49094.75</v>
      </c>
      <c r="D201" s="75">
        <v>0</v>
      </c>
      <c r="E201" s="75">
        <v>209.62689741514149</v>
      </c>
      <c r="F201" s="75">
        <v>-25.526346298866546</v>
      </c>
      <c r="G201" s="75">
        <v>3408.762396572793</v>
      </c>
      <c r="H201" s="56" t="str">
        <f t="shared" si="4"/>
        <v/>
      </c>
    </row>
    <row r="202" spans="1:8">
      <c r="A202" s="236">
        <v>49096</v>
      </c>
      <c r="B202" s="75">
        <v>3832.2724733415644</v>
      </c>
      <c r="C202" s="237">
        <v>49116.708333333336</v>
      </c>
      <c r="D202" s="75">
        <v>0</v>
      </c>
      <c r="E202" s="75">
        <v>169.41361958425657</v>
      </c>
      <c r="F202" s="75">
        <v>-49.329531128473597</v>
      </c>
      <c r="G202" s="75">
        <v>3832.2724733415644</v>
      </c>
      <c r="H202" s="56" t="str">
        <f t="shared" si="4"/>
        <v/>
      </c>
    </row>
    <row r="203" spans="1:8">
      <c r="A203" s="236">
        <v>49126</v>
      </c>
      <c r="B203" s="75">
        <v>4139.4452874864483</v>
      </c>
      <c r="C203" s="237">
        <v>49144.708333333336</v>
      </c>
      <c r="D203" s="75">
        <v>0</v>
      </c>
      <c r="E203" s="75">
        <v>170.17255983573042</v>
      </c>
      <c r="F203" s="75">
        <v>-56.608606156532467</v>
      </c>
      <c r="G203" s="75">
        <v>4139.4452874864492</v>
      </c>
      <c r="H203" s="56">
        <f t="shared" si="4"/>
        <v>-9.0949470177292824E-13</v>
      </c>
    </row>
    <row r="204" spans="1:8">
      <c r="A204" s="236">
        <v>49157</v>
      </c>
      <c r="B204" s="75">
        <v>4015.1836263041528</v>
      </c>
      <c r="C204" s="237">
        <v>49158.708333333336</v>
      </c>
      <c r="D204" s="75">
        <v>0</v>
      </c>
      <c r="E204" s="75">
        <v>170.65389050982225</v>
      </c>
      <c r="F204" s="75">
        <v>-48.736221217266568</v>
      </c>
      <c r="G204" s="75">
        <v>4015.1836263041523</v>
      </c>
      <c r="H204" s="56" t="str">
        <f t="shared" si="4"/>
        <v/>
      </c>
    </row>
    <row r="205" spans="1:8">
      <c r="A205" s="236">
        <v>49188</v>
      </c>
      <c r="B205" s="75">
        <v>3659.2809937168922</v>
      </c>
      <c r="C205" s="237">
        <v>49188.708333333336</v>
      </c>
      <c r="D205" s="75">
        <v>0</v>
      </c>
      <c r="E205" s="75">
        <v>164.30792556981993</v>
      </c>
      <c r="F205" s="75">
        <v>-38.556217026700445</v>
      </c>
      <c r="G205" s="75">
        <v>3659.2809937168927</v>
      </c>
      <c r="H205" s="56" t="str">
        <f t="shared" si="4"/>
        <v/>
      </c>
    </row>
    <row r="206" spans="1:8">
      <c r="A206" s="236">
        <v>49218</v>
      </c>
      <c r="B206" s="75">
        <v>2817.7461861296429</v>
      </c>
      <c r="C206" s="237">
        <v>49220.791666666664</v>
      </c>
      <c r="D206" s="75">
        <v>0</v>
      </c>
      <c r="E206" s="75">
        <v>253.97581906421217</v>
      </c>
      <c r="F206" s="75">
        <v>0</v>
      </c>
      <c r="G206" s="75">
        <v>2817.7461861296429</v>
      </c>
      <c r="H206" s="56" t="str">
        <f t="shared" si="4"/>
        <v/>
      </c>
    </row>
    <row r="207" spans="1:8">
      <c r="A207" s="236">
        <v>49249</v>
      </c>
      <c r="B207" s="75">
        <v>3224.388344992989</v>
      </c>
      <c r="C207" s="237">
        <v>49276.791666666664</v>
      </c>
      <c r="D207" s="75">
        <v>0</v>
      </c>
      <c r="E207" s="75">
        <v>272.19671839793216</v>
      </c>
      <c r="F207" s="75">
        <v>0</v>
      </c>
      <c r="G207" s="75">
        <v>3224.3883449929886</v>
      </c>
      <c r="H207" s="56" t="str">
        <f t="shared" si="4"/>
        <v/>
      </c>
    </row>
    <row r="208" spans="1:8">
      <c r="A208" s="236">
        <v>49279</v>
      </c>
      <c r="B208" s="75">
        <v>3475.8231629552947</v>
      </c>
      <c r="C208" s="237">
        <v>49297.75</v>
      </c>
      <c r="D208" s="75">
        <v>0</v>
      </c>
      <c r="E208" s="75">
        <v>281.86872051789931</v>
      </c>
      <c r="F208" s="75">
        <v>0</v>
      </c>
      <c r="G208" s="75">
        <v>3475.8231629552947</v>
      </c>
      <c r="H208" s="56" t="str">
        <f t="shared" si="4"/>
        <v/>
      </c>
    </row>
    <row r="209" spans="1:8">
      <c r="A209" s="236">
        <v>49310</v>
      </c>
      <c r="B209" s="75">
        <v>3736.4434426168928</v>
      </c>
      <c r="C209" s="237">
        <v>49327.791666666664</v>
      </c>
      <c r="D209" s="75">
        <v>0</v>
      </c>
      <c r="E209" s="75">
        <v>297.67768873254033</v>
      </c>
      <c r="F209" s="75">
        <v>0</v>
      </c>
      <c r="G209" s="75">
        <v>3736.4434426168928</v>
      </c>
      <c r="H209" s="56" t="str">
        <f t="shared" si="4"/>
        <v/>
      </c>
    </row>
    <row r="210" spans="1:8">
      <c r="A210" s="236">
        <v>49341</v>
      </c>
      <c r="B210" s="75">
        <v>3501.1181839141623</v>
      </c>
      <c r="C210" s="237">
        <v>49345.791666666664</v>
      </c>
      <c r="D210" s="75">
        <v>0</v>
      </c>
      <c r="E210" s="75">
        <v>306.96441520328926</v>
      </c>
      <c r="F210" s="75">
        <v>0</v>
      </c>
      <c r="G210" s="75">
        <v>3501.1181839141623</v>
      </c>
      <c r="H210" s="56" t="str">
        <f t="shared" si="4"/>
        <v/>
      </c>
    </row>
    <row r="211" spans="1:8">
      <c r="A211" s="236">
        <v>49369</v>
      </c>
      <c r="B211" s="75">
        <v>3052.6842142844116</v>
      </c>
      <c r="C211" s="237">
        <v>49373.333333333336</v>
      </c>
      <c r="D211" s="75">
        <v>0</v>
      </c>
      <c r="E211" s="75">
        <v>126.34296865081218</v>
      </c>
      <c r="F211" s="75">
        <v>-13.551852729338982</v>
      </c>
      <c r="G211" s="75">
        <v>3052.6842142844116</v>
      </c>
      <c r="H211" s="56" t="str">
        <f t="shared" si="4"/>
        <v/>
      </c>
    </row>
    <row r="212" spans="1:8">
      <c r="A212" s="236">
        <v>49400</v>
      </c>
      <c r="B212" s="75">
        <v>2692.1988786042066</v>
      </c>
      <c r="C212" s="237">
        <v>49404.833333333336</v>
      </c>
      <c r="D212" s="75">
        <v>0</v>
      </c>
      <c r="E212" s="75">
        <v>266.85985899396502</v>
      </c>
      <c r="F212" s="75">
        <v>-0.12469119410520137</v>
      </c>
      <c r="G212" s="75">
        <v>2692.1988786042066</v>
      </c>
      <c r="H212" s="56" t="str">
        <f t="shared" si="4"/>
        <v/>
      </c>
    </row>
    <row r="213" spans="1:8">
      <c r="A213" s="236">
        <v>49430</v>
      </c>
      <c r="B213" s="75">
        <v>3440.3227090480582</v>
      </c>
      <c r="C213" s="237">
        <v>49459.75</v>
      </c>
      <c r="D213" s="75">
        <v>0</v>
      </c>
      <c r="E213" s="75">
        <v>250.49778272400772</v>
      </c>
      <c r="F213" s="75">
        <v>-27.770522552369233</v>
      </c>
      <c r="G213" s="75">
        <v>3440.3227090480582</v>
      </c>
      <c r="H213" s="56" t="str">
        <f t="shared" si="4"/>
        <v/>
      </c>
    </row>
    <row r="214" spans="1:8">
      <c r="A214" s="236">
        <v>49461</v>
      </c>
      <c r="B214" s="75">
        <v>3865.7672833977836</v>
      </c>
      <c r="C214" s="237">
        <v>49485.708333333336</v>
      </c>
      <c r="D214" s="75">
        <v>0</v>
      </c>
      <c r="E214" s="75">
        <v>201.62160830918998</v>
      </c>
      <c r="F214" s="75">
        <v>-53.539172771888438</v>
      </c>
      <c r="G214" s="75">
        <v>3865.767283397784</v>
      </c>
      <c r="H214" s="56" t="str">
        <f t="shared" si="4"/>
        <v/>
      </c>
    </row>
    <row r="215" spans="1:8">
      <c r="A215" s="236">
        <v>49491</v>
      </c>
      <c r="B215" s="75">
        <v>4170.766630578918</v>
      </c>
      <c r="C215" s="237">
        <v>49509.708333333336</v>
      </c>
      <c r="D215" s="75">
        <v>0</v>
      </c>
      <c r="E215" s="75">
        <v>200.9091122455668</v>
      </c>
      <c r="F215" s="75">
        <v>-61.287466055014981</v>
      </c>
      <c r="G215" s="75">
        <v>4170.766630578918</v>
      </c>
      <c r="H215" s="56">
        <f t="shared" si="4"/>
        <v>0</v>
      </c>
    </row>
    <row r="216" spans="1:8">
      <c r="A216" s="236">
        <v>49522</v>
      </c>
      <c r="B216" s="75">
        <v>4049.7917201814857</v>
      </c>
      <c r="C216" s="237">
        <v>49523.708333333336</v>
      </c>
      <c r="D216" s="75">
        <v>0</v>
      </c>
      <c r="E216" s="75">
        <v>201.6564414500782</v>
      </c>
      <c r="F216" s="75">
        <v>-52.66836701487059</v>
      </c>
      <c r="G216" s="75">
        <v>4049.7917201814853</v>
      </c>
      <c r="H216" s="56" t="str">
        <f t="shared" si="4"/>
        <v/>
      </c>
    </row>
    <row r="217" spans="1:8">
      <c r="A217" s="236">
        <v>49553</v>
      </c>
      <c r="B217" s="75">
        <v>3708.2724420176205</v>
      </c>
      <c r="C217" s="237">
        <v>49554.708333333336</v>
      </c>
      <c r="D217" s="75">
        <v>0</v>
      </c>
      <c r="E217" s="75">
        <v>200.05306141949561</v>
      </c>
      <c r="F217" s="75">
        <v>-41.590554410931382</v>
      </c>
      <c r="G217" s="75">
        <v>3708.2724420176205</v>
      </c>
      <c r="H217" s="56" t="str">
        <f t="shared" si="4"/>
        <v/>
      </c>
    </row>
    <row r="218" spans="1:8">
      <c r="A218" s="236">
        <v>49583</v>
      </c>
      <c r="B218" s="75">
        <v>2857.3982175089</v>
      </c>
      <c r="C218" s="237">
        <v>49585.791666666664</v>
      </c>
      <c r="D218" s="75">
        <v>0</v>
      </c>
      <c r="E218" s="75">
        <v>300.32922963894237</v>
      </c>
      <c r="F218" s="75">
        <v>0</v>
      </c>
      <c r="G218" s="75">
        <v>2857.3982175088995</v>
      </c>
      <c r="H218" s="56" t="str">
        <f t="shared" si="4"/>
        <v/>
      </c>
    </row>
    <row r="219" spans="1:8">
      <c r="A219" s="236">
        <v>49614</v>
      </c>
      <c r="B219" s="75">
        <v>3264.2500608130626</v>
      </c>
      <c r="C219" s="237">
        <v>49641.791666666664</v>
      </c>
      <c r="D219" s="75">
        <v>0</v>
      </c>
      <c r="E219" s="75">
        <v>321.67666725481325</v>
      </c>
      <c r="F219" s="75">
        <v>0</v>
      </c>
      <c r="G219" s="75">
        <v>3264.2500608130626</v>
      </c>
      <c r="H219" s="56" t="str">
        <f t="shared" si="4"/>
        <v/>
      </c>
    </row>
    <row r="220" spans="1:8">
      <c r="A220" s="236">
        <v>49644</v>
      </c>
      <c r="B220" s="75">
        <v>3512.2780091834534</v>
      </c>
      <c r="C220" s="237">
        <v>49662.75</v>
      </c>
      <c r="D220" s="75">
        <v>0</v>
      </c>
      <c r="E220" s="75">
        <v>331.5186128803266</v>
      </c>
      <c r="F220" s="75">
        <v>0</v>
      </c>
      <c r="G220" s="75">
        <v>3512.2780091834534</v>
      </c>
      <c r="H220" s="56" t="str">
        <f t="shared" si="4"/>
        <v/>
      </c>
    </row>
    <row r="221" spans="1:8">
      <c r="A221" s="236">
        <v>49675</v>
      </c>
      <c r="B221" s="75">
        <v>3788.4028063285532</v>
      </c>
      <c r="C221" s="237">
        <v>49695.791666666664</v>
      </c>
      <c r="D221" s="75">
        <v>0</v>
      </c>
      <c r="E221" s="75">
        <v>350.48895251800491</v>
      </c>
      <c r="F221" s="75">
        <v>0</v>
      </c>
      <c r="G221" s="75">
        <v>3788.4028063285532</v>
      </c>
      <c r="H221" s="56" t="str">
        <f t="shared" si="4"/>
        <v/>
      </c>
    </row>
    <row r="222" spans="1:8">
      <c r="A222" s="236">
        <v>49706</v>
      </c>
      <c r="B222" s="75">
        <v>3541.9338819780019</v>
      </c>
      <c r="C222" s="237">
        <v>49710.791666666664</v>
      </c>
      <c r="D222" s="75">
        <v>0</v>
      </c>
      <c r="E222" s="75">
        <v>347.13652659494409</v>
      </c>
      <c r="F222" s="75">
        <v>0</v>
      </c>
      <c r="G222" s="75">
        <v>3541.9338819780019</v>
      </c>
      <c r="H222" s="56" t="str">
        <f t="shared" si="4"/>
        <v/>
      </c>
    </row>
    <row r="223" spans="1:8">
      <c r="A223" s="236">
        <v>49735</v>
      </c>
      <c r="B223" s="75">
        <v>3193.9552538237235</v>
      </c>
      <c r="C223" s="237">
        <v>49737.791666666664</v>
      </c>
      <c r="D223" s="75">
        <v>0</v>
      </c>
      <c r="E223" s="75">
        <v>352.23166511214055</v>
      </c>
      <c r="F223" s="75">
        <v>-1.3799026184697751</v>
      </c>
      <c r="G223" s="75">
        <v>3193.9552538237226</v>
      </c>
      <c r="H223" s="56" t="str">
        <f t="shared" si="4"/>
        <v/>
      </c>
    </row>
    <row r="224" spans="1:8">
      <c r="A224" s="236">
        <v>49766</v>
      </c>
      <c r="B224" s="75">
        <v>2810.5461877531243</v>
      </c>
      <c r="C224" s="237">
        <v>49766.833333333336</v>
      </c>
      <c r="D224" s="75">
        <v>0</v>
      </c>
      <c r="E224" s="75">
        <v>311.75449985028456</v>
      </c>
      <c r="F224" s="75">
        <v>-0.13344417641680306</v>
      </c>
      <c r="G224" s="75">
        <v>2810.5461877531238</v>
      </c>
      <c r="H224" s="56" t="str">
        <f t="shared" si="4"/>
        <v/>
      </c>
    </row>
    <row r="225" spans="1:8">
      <c r="A225" s="236">
        <v>49796</v>
      </c>
      <c r="B225" s="75">
        <v>3440.4508228785148</v>
      </c>
      <c r="C225" s="237">
        <v>49825.708333333336</v>
      </c>
      <c r="D225" s="75">
        <v>0</v>
      </c>
      <c r="E225" s="75">
        <v>249.85811959133292</v>
      </c>
      <c r="F225" s="75">
        <v>-54.44601482144224</v>
      </c>
      <c r="G225" s="75">
        <v>3440.4508228785144</v>
      </c>
      <c r="H225" s="56" t="str">
        <f t="shared" si="4"/>
        <v/>
      </c>
    </row>
    <row r="226" spans="1:8">
      <c r="A226" s="236">
        <v>49827</v>
      </c>
      <c r="B226" s="75">
        <v>3897.9837060168456</v>
      </c>
      <c r="C226" s="237">
        <v>49851.708333333336</v>
      </c>
      <c r="D226" s="75">
        <v>0</v>
      </c>
      <c r="E226" s="75">
        <v>233.16143405890369</v>
      </c>
      <c r="F226" s="75">
        <v>-57.239140110182255</v>
      </c>
      <c r="G226" s="75">
        <v>3897.9837060168452</v>
      </c>
      <c r="H226" s="56" t="str">
        <f t="shared" si="4"/>
        <v/>
      </c>
    </row>
    <row r="227" spans="1:8">
      <c r="A227" s="236">
        <v>49857</v>
      </c>
      <c r="B227" s="75">
        <v>4202.315896855227</v>
      </c>
      <c r="C227" s="237">
        <v>49877.708333333336</v>
      </c>
      <c r="D227" s="75">
        <v>0</v>
      </c>
      <c r="E227" s="75">
        <v>231.2435002106032</v>
      </c>
      <c r="F227" s="75">
        <v>-65.504939099383833</v>
      </c>
      <c r="G227" s="75">
        <v>4202.3158968552279</v>
      </c>
      <c r="H227" s="56">
        <f t="shared" si="4"/>
        <v>-9.0949470177292824E-13</v>
      </c>
    </row>
    <row r="228" spans="1:8">
      <c r="A228" s="236">
        <v>49888</v>
      </c>
      <c r="B228" s="75">
        <v>4095.6261285056407</v>
      </c>
      <c r="C228" s="237">
        <v>49891.708333333336</v>
      </c>
      <c r="D228" s="75">
        <v>0</v>
      </c>
      <c r="E228" s="75">
        <v>233.68287562250327</v>
      </c>
      <c r="F228" s="75">
        <v>-56.276382020318643</v>
      </c>
      <c r="G228" s="75">
        <v>4095.6261285056398</v>
      </c>
      <c r="H228" s="56" t="str">
        <f t="shared" si="4"/>
        <v/>
      </c>
    </row>
    <row r="229" spans="1:8">
      <c r="A229" s="236">
        <v>49919</v>
      </c>
      <c r="B229" s="75">
        <v>3731.6943760912977</v>
      </c>
      <c r="C229" s="237">
        <v>49920.708333333336</v>
      </c>
      <c r="D229" s="75">
        <v>0</v>
      </c>
      <c r="E229" s="75">
        <v>222.42332671781156</v>
      </c>
      <c r="F229" s="75">
        <v>-44.423768106748476</v>
      </c>
      <c r="G229" s="75">
        <v>3731.6943760912977</v>
      </c>
      <c r="H229" s="56" t="str">
        <f t="shared" si="4"/>
        <v/>
      </c>
    </row>
    <row r="230" spans="1:8">
      <c r="A230" s="236">
        <v>49949</v>
      </c>
      <c r="B230" s="75">
        <v>2856.8616403903093</v>
      </c>
      <c r="C230" s="237">
        <v>49951.75</v>
      </c>
      <c r="D230" s="75">
        <v>0</v>
      </c>
      <c r="E230" s="75">
        <v>325.12409265302489</v>
      </c>
      <c r="F230" s="75">
        <v>-8.0856164546432403</v>
      </c>
      <c r="G230" s="75">
        <v>2856.8616403903088</v>
      </c>
      <c r="H230" s="56" t="str">
        <f t="shared" si="4"/>
        <v/>
      </c>
    </row>
    <row r="231" spans="1:8">
      <c r="A231" s="236">
        <v>49980</v>
      </c>
      <c r="B231" s="75">
        <v>3233.9672255131049</v>
      </c>
      <c r="C231" s="237">
        <v>50003.75</v>
      </c>
      <c r="D231" s="75">
        <v>0</v>
      </c>
      <c r="E231" s="75">
        <v>343.85693360282949</v>
      </c>
      <c r="F231" s="75">
        <v>-3.9617810160336633E-3</v>
      </c>
      <c r="G231" s="75">
        <v>3233.9672255131054</v>
      </c>
      <c r="H231" s="56" t="str">
        <f t="shared" si="4"/>
        <v/>
      </c>
    </row>
    <row r="232" spans="1:8">
      <c r="A232" s="236">
        <v>50010</v>
      </c>
      <c r="B232" s="75">
        <v>3511.1753383290652</v>
      </c>
      <c r="C232" s="237">
        <v>50027.791666666664</v>
      </c>
      <c r="D232" s="75">
        <v>0</v>
      </c>
      <c r="E232" s="75">
        <v>414.53443201478893</v>
      </c>
      <c r="F232" s="75">
        <v>0</v>
      </c>
      <c r="G232" s="75">
        <v>3511.1753383290652</v>
      </c>
      <c r="H232" s="56" t="str">
        <f t="shared" si="4"/>
        <v/>
      </c>
    </row>
    <row r="233" spans="1:8">
      <c r="A233" s="236">
        <v>50041</v>
      </c>
      <c r="B233" s="75">
        <v>3745.3246137478277</v>
      </c>
      <c r="C233" s="237">
        <v>50061.791666666664</v>
      </c>
      <c r="D233" s="75">
        <v>0</v>
      </c>
      <c r="E233" s="75">
        <v>403.92721283945764</v>
      </c>
      <c r="F233" s="75">
        <v>0</v>
      </c>
      <c r="G233" s="75">
        <v>3745.3246137478277</v>
      </c>
      <c r="H233" s="56" t="str">
        <f t="shared" si="4"/>
        <v/>
      </c>
    </row>
    <row r="234" spans="1:8">
      <c r="A234" s="236">
        <v>50072</v>
      </c>
      <c r="B234" s="75">
        <v>3555.5724734025575</v>
      </c>
      <c r="C234" s="237">
        <v>50076.791666666664</v>
      </c>
      <c r="D234" s="75">
        <v>0</v>
      </c>
      <c r="E234" s="75">
        <v>413.27093899529768</v>
      </c>
      <c r="F234" s="75">
        <v>0</v>
      </c>
      <c r="G234" s="75">
        <v>3555.5724734025575</v>
      </c>
      <c r="H234" s="56" t="str">
        <f t="shared" si="4"/>
        <v/>
      </c>
    </row>
    <row r="235" spans="1:8">
      <c r="A235" s="236">
        <v>50100</v>
      </c>
      <c r="B235" s="75">
        <v>3203.4836318100593</v>
      </c>
      <c r="C235" s="237">
        <v>50102.791666666664</v>
      </c>
      <c r="D235" s="75">
        <v>0</v>
      </c>
      <c r="E235" s="75">
        <v>402.69644186140675</v>
      </c>
      <c r="F235" s="75">
        <v>-1.4713822415009097</v>
      </c>
      <c r="G235" s="75">
        <v>3203.4836318100588</v>
      </c>
      <c r="H235" s="56" t="str">
        <f t="shared" si="4"/>
        <v/>
      </c>
    </row>
    <row r="236" spans="1:8">
      <c r="A236" s="236">
        <v>50131</v>
      </c>
      <c r="B236" s="75">
        <v>2851.820666719404</v>
      </c>
      <c r="C236" s="237">
        <v>50131.833333333336</v>
      </c>
      <c r="D236" s="75">
        <v>0</v>
      </c>
      <c r="E236" s="75">
        <v>356.86447285027702</v>
      </c>
      <c r="F236" s="75">
        <v>-0.14225706692697485</v>
      </c>
      <c r="G236" s="75">
        <v>2851.820666719404</v>
      </c>
      <c r="H236" s="56" t="str">
        <f t="shared" si="4"/>
        <v/>
      </c>
    </row>
    <row r="237" spans="1:8">
      <c r="A237" s="236">
        <v>50161</v>
      </c>
      <c r="B237" s="75">
        <v>3495.0463006253412</v>
      </c>
      <c r="C237" s="237">
        <v>50188.75</v>
      </c>
      <c r="D237" s="75">
        <v>0</v>
      </c>
      <c r="E237" s="75">
        <v>334.189153681758</v>
      </c>
      <c r="F237" s="75">
        <v>-31.65658514669974</v>
      </c>
      <c r="G237" s="75">
        <v>3495.0463006253412</v>
      </c>
      <c r="H237" s="56" t="str">
        <f t="shared" si="4"/>
        <v/>
      </c>
    </row>
    <row r="238" spans="1:8">
      <c r="A238" s="236">
        <v>50192</v>
      </c>
      <c r="B238" s="75">
        <v>3927.8099646892356</v>
      </c>
      <c r="C238" s="237">
        <v>50216.708333333336</v>
      </c>
      <c r="D238" s="75">
        <v>0</v>
      </c>
      <c r="E238" s="75">
        <v>263.11793522278867</v>
      </c>
      <c r="F238" s="75">
        <v>-60.984210001355933</v>
      </c>
      <c r="G238" s="75">
        <v>3927.8099646892356</v>
      </c>
      <c r="H238" s="56" t="str">
        <f t="shared" si="4"/>
        <v/>
      </c>
    </row>
    <row r="239" spans="1:8">
      <c r="A239" s="236">
        <v>50222</v>
      </c>
      <c r="B239" s="75">
        <v>4295.8100788800011</v>
      </c>
      <c r="C239" s="237">
        <v>50242.75</v>
      </c>
      <c r="D239" s="75">
        <v>0</v>
      </c>
      <c r="E239" s="75">
        <v>286.15319684715388</v>
      </c>
      <c r="F239" s="75">
        <v>-40.751076112163908</v>
      </c>
      <c r="G239" s="75">
        <v>4295.810078880002</v>
      </c>
      <c r="H239" s="56">
        <f t="shared" si="4"/>
        <v>-9.0949470177292824E-13</v>
      </c>
    </row>
    <row r="240" spans="1:8">
      <c r="A240" s="236">
        <v>50253</v>
      </c>
      <c r="B240" s="75">
        <v>4135.6171310738482</v>
      </c>
      <c r="C240" s="237">
        <v>50256.708333333336</v>
      </c>
      <c r="D240" s="75">
        <v>0</v>
      </c>
      <c r="E240" s="75">
        <v>263.67632102672439</v>
      </c>
      <c r="F240" s="75">
        <v>-59.930195664232329</v>
      </c>
      <c r="G240" s="75">
        <v>4135.6171310738482</v>
      </c>
      <c r="H240" s="56" t="str">
        <f t="shared" si="4"/>
        <v/>
      </c>
    </row>
    <row r="241" spans="1:8">
      <c r="A241" s="236">
        <v>50284</v>
      </c>
      <c r="B241" s="75">
        <v>3758.1330715779968</v>
      </c>
      <c r="C241" s="237">
        <v>50285.708333333336</v>
      </c>
      <c r="D241" s="75">
        <v>0</v>
      </c>
      <c r="E241" s="75">
        <v>250.68883722403149</v>
      </c>
      <c r="F241" s="75">
        <v>-47.294466229683159</v>
      </c>
      <c r="G241" s="75">
        <v>3758.1330715779968</v>
      </c>
      <c r="H241" s="56" t="str">
        <f t="shared" si="4"/>
        <v/>
      </c>
    </row>
    <row r="242" spans="1:8">
      <c r="A242" s="236">
        <v>50314</v>
      </c>
      <c r="B242" s="75">
        <v>2941.4936483969013</v>
      </c>
      <c r="C242" s="237">
        <v>50319.791666666664</v>
      </c>
      <c r="D242" s="75">
        <v>0</v>
      </c>
      <c r="E242" s="75">
        <v>394.106378208423</v>
      </c>
      <c r="F242" s="75">
        <v>0</v>
      </c>
      <c r="G242" s="75">
        <v>2941.4936483969013</v>
      </c>
      <c r="H242" s="56" t="str">
        <f t="shared" si="4"/>
        <v/>
      </c>
    </row>
    <row r="243" spans="1:8">
      <c r="A243" s="236">
        <v>50345</v>
      </c>
      <c r="B243" s="75">
        <v>3299.6760542227698</v>
      </c>
      <c r="C243" s="237">
        <v>50367.791666666664</v>
      </c>
      <c r="D243" s="75">
        <v>0</v>
      </c>
      <c r="E243" s="75">
        <v>420.77695308185014</v>
      </c>
      <c r="F243" s="75">
        <v>0</v>
      </c>
      <c r="G243" s="75">
        <v>3299.6760542227694</v>
      </c>
      <c r="H243" s="56" t="str">
        <f t="shared" si="4"/>
        <v/>
      </c>
    </row>
    <row r="244" spans="1:8">
      <c r="A244" s="236">
        <v>50375</v>
      </c>
      <c r="B244" s="75">
        <v>3597.6365112843641</v>
      </c>
      <c r="C244" s="237">
        <v>50382.75</v>
      </c>
      <c r="D244" s="75">
        <v>0</v>
      </c>
      <c r="E244" s="75">
        <v>427.08280713234473</v>
      </c>
      <c r="F244" s="75">
        <v>0</v>
      </c>
      <c r="G244" s="75">
        <v>3597.6365112843641</v>
      </c>
      <c r="H244" s="56" t="str">
        <f t="shared" si="4"/>
        <v/>
      </c>
    </row>
    <row r="245" spans="1:8">
      <c r="A245" s="236">
        <v>50406</v>
      </c>
      <c r="B245" s="75">
        <v>3778.7170335132087</v>
      </c>
      <c r="C245" s="237">
        <v>50426.791666666664</v>
      </c>
      <c r="D245" s="75">
        <v>0</v>
      </c>
      <c r="E245" s="75">
        <v>456.75325432105774</v>
      </c>
      <c r="F245" s="75">
        <v>0</v>
      </c>
      <c r="G245" s="75">
        <v>3778.7170335132091</v>
      </c>
      <c r="H245" s="56" t="str">
        <f t="shared" si="4"/>
        <v/>
      </c>
    </row>
    <row r="246" spans="1:8">
      <c r="A246" s="236">
        <v>50437</v>
      </c>
      <c r="B246" s="75">
        <v>3529.5205759795485</v>
      </c>
      <c r="C246" s="237">
        <v>50441.791666666664</v>
      </c>
      <c r="D246" s="75">
        <v>0</v>
      </c>
      <c r="E246" s="75">
        <v>465.40242875857911</v>
      </c>
      <c r="F246" s="75">
        <v>0</v>
      </c>
      <c r="G246" s="75">
        <v>3529.5205759795485</v>
      </c>
      <c r="H246" s="56" t="str">
        <f t="shared" si="4"/>
        <v/>
      </c>
    </row>
    <row r="247" spans="1:8">
      <c r="A247" s="236">
        <v>50465</v>
      </c>
      <c r="B247" s="75">
        <v>3241.489053657262</v>
      </c>
      <c r="C247" s="237">
        <v>50467.791666666664</v>
      </c>
      <c r="D247" s="75">
        <v>0</v>
      </c>
      <c r="E247" s="75">
        <v>452.05816914921172</v>
      </c>
      <c r="F247" s="75">
        <v>-1.5646262988852717</v>
      </c>
      <c r="G247" s="75">
        <v>3241.489053657262</v>
      </c>
      <c r="H247" s="56" t="str">
        <f t="shared" si="4"/>
        <v/>
      </c>
    </row>
    <row r="248" spans="1:8">
      <c r="A248" s="236">
        <v>50496</v>
      </c>
      <c r="B248" s="75">
        <v>2949.4284309426484</v>
      </c>
      <c r="C248" s="237">
        <v>50496.833333333336</v>
      </c>
      <c r="D248" s="75">
        <v>0</v>
      </c>
      <c r="E248" s="75">
        <v>401.18172800763108</v>
      </c>
      <c r="F248" s="75">
        <v>-0.15124492544997747</v>
      </c>
      <c r="G248" s="75">
        <v>2949.4284309426484</v>
      </c>
      <c r="H248" s="56" t="str">
        <f t="shared" si="4"/>
        <v/>
      </c>
    </row>
    <row r="249" spans="1:8">
      <c r="A249" s="236">
        <v>50526</v>
      </c>
      <c r="B249" s="75">
        <v>3559.6774170787103</v>
      </c>
      <c r="C249" s="237">
        <v>50556.75</v>
      </c>
      <c r="D249" s="75">
        <v>0</v>
      </c>
      <c r="E249" s="75">
        <v>374.07204444906574</v>
      </c>
      <c r="F249" s="75">
        <v>-33.652012429376903</v>
      </c>
      <c r="G249" s="75">
        <v>3559.6774170787098</v>
      </c>
      <c r="H249" s="56" t="str">
        <f t="shared" si="4"/>
        <v/>
      </c>
    </row>
    <row r="250" spans="1:8">
      <c r="A250" s="236">
        <v>50557</v>
      </c>
      <c r="B250" s="75">
        <v>3971.7722592600512</v>
      </c>
      <c r="C250" s="237">
        <v>50577.708333333336</v>
      </c>
      <c r="D250" s="75">
        <v>0</v>
      </c>
      <c r="E250" s="75">
        <v>292.60260566009634</v>
      </c>
      <c r="F250" s="75">
        <v>-64.818777622420313</v>
      </c>
      <c r="G250" s="75">
        <v>3971.7722592600512</v>
      </c>
      <c r="H250" s="56" t="str">
        <f t="shared" si="4"/>
        <v/>
      </c>
    </row>
    <row r="251" spans="1:8">
      <c r="A251" s="236">
        <v>50587</v>
      </c>
      <c r="B251" s="75">
        <v>4295.9074106626767</v>
      </c>
      <c r="C251" s="237">
        <v>50605.75</v>
      </c>
      <c r="D251" s="75">
        <v>0</v>
      </c>
      <c r="E251" s="75">
        <v>318.62507300305862</v>
      </c>
      <c r="F251" s="75">
        <v>-43.310758945752568</v>
      </c>
      <c r="G251" s="75">
        <v>4295.9074106626758</v>
      </c>
      <c r="H251" s="56">
        <f t="shared" si="4"/>
        <v>9.0949470177292824E-13</v>
      </c>
    </row>
    <row r="252" spans="1:8">
      <c r="A252" s="236">
        <v>50618</v>
      </c>
      <c r="B252" s="75">
        <v>4165.1744560915213</v>
      </c>
      <c r="C252" s="237">
        <v>50621.708333333336</v>
      </c>
      <c r="D252" s="75">
        <v>0</v>
      </c>
      <c r="E252" s="75">
        <v>291.65999975666762</v>
      </c>
      <c r="F252" s="75">
        <v>-63.685278975506719</v>
      </c>
      <c r="G252" s="75">
        <v>4165.1744560915213</v>
      </c>
      <c r="H252" s="56" t="str">
        <f t="shared" si="4"/>
        <v/>
      </c>
    </row>
    <row r="253" spans="1:8">
      <c r="A253" s="236">
        <v>50649</v>
      </c>
      <c r="B253" s="75">
        <v>3784.6812614482842</v>
      </c>
      <c r="C253" s="237">
        <v>50650.708333333336</v>
      </c>
      <c r="D253" s="75">
        <v>0</v>
      </c>
      <c r="E253" s="75">
        <v>277.86396486547608</v>
      </c>
      <c r="F253" s="75">
        <v>-50.247499610819325</v>
      </c>
      <c r="G253" s="75">
        <v>3784.6812614482837</v>
      </c>
      <c r="H253" s="56" t="str">
        <f t="shared" si="4"/>
        <v/>
      </c>
    </row>
    <row r="254" spans="1:8">
      <c r="A254" s="236">
        <v>50679</v>
      </c>
      <c r="B254" s="75">
        <v>3022.0258088369856</v>
      </c>
      <c r="C254" s="237">
        <v>50682.791666666664</v>
      </c>
      <c r="D254" s="75">
        <v>0</v>
      </c>
      <c r="E254" s="75">
        <v>439.97951365878544</v>
      </c>
      <c r="F254" s="75">
        <v>0</v>
      </c>
      <c r="G254" s="75">
        <v>3022.0258088369856</v>
      </c>
      <c r="H254" s="56" t="str">
        <f t="shared" si="4"/>
        <v/>
      </c>
    </row>
    <row r="255" spans="1:8">
      <c r="A255" s="236">
        <v>50710</v>
      </c>
      <c r="B255" s="75">
        <v>3406.2262304900464</v>
      </c>
      <c r="C255" s="237">
        <v>50731.791666666664</v>
      </c>
      <c r="D255" s="75">
        <v>0</v>
      </c>
      <c r="E255" s="75">
        <v>467.77213788870381</v>
      </c>
      <c r="F255" s="75">
        <v>0</v>
      </c>
      <c r="G255" s="75">
        <v>3406.2262304900469</v>
      </c>
      <c r="H255" s="56" t="str">
        <f t="shared" si="4"/>
        <v/>
      </c>
    </row>
    <row r="256" spans="1:8">
      <c r="A256" s="236">
        <v>50740</v>
      </c>
      <c r="B256" s="75">
        <v>3656.3108481376203</v>
      </c>
      <c r="C256" s="237">
        <v>50759.791666666664</v>
      </c>
      <c r="D256" s="75">
        <v>0</v>
      </c>
      <c r="E256" s="75">
        <v>520.67312340069918</v>
      </c>
      <c r="F256" s="75">
        <v>0</v>
      </c>
      <c r="G256" s="75">
        <v>3656.3108481376203</v>
      </c>
      <c r="H256" s="56" t="str">
        <f t="shared" si="4"/>
        <v/>
      </c>
    </row>
    <row r="257" spans="1:8">
      <c r="A257" s="236">
        <v>50771</v>
      </c>
      <c r="B257" s="75">
        <v>3820.2631044281457</v>
      </c>
      <c r="C257" s="237">
        <v>50788.791666666664</v>
      </c>
      <c r="D257" s="75">
        <v>0</v>
      </c>
      <c r="E257" s="75">
        <v>507.627584363192</v>
      </c>
      <c r="F257" s="75">
        <v>0</v>
      </c>
      <c r="G257" s="75">
        <v>3820.2631044281457</v>
      </c>
      <c r="H257" s="56" t="str">
        <f t="shared" si="4"/>
        <v/>
      </c>
    </row>
    <row r="258" spans="1:8">
      <c r="A258" s="236">
        <v>50802</v>
      </c>
      <c r="B258" s="75">
        <v>3660.5305038124093</v>
      </c>
      <c r="C258" s="237">
        <v>50809.791666666664</v>
      </c>
      <c r="D258" s="75">
        <v>0</v>
      </c>
      <c r="E258" s="75">
        <v>516.08148210179445</v>
      </c>
      <c r="F258" s="75">
        <v>0</v>
      </c>
      <c r="G258" s="75">
        <v>3660.5305038124093</v>
      </c>
      <c r="H258" s="56" t="str">
        <f t="shared" si="4"/>
        <v/>
      </c>
    </row>
    <row r="259" spans="1:8">
      <c r="A259" s="236">
        <v>50830</v>
      </c>
      <c r="B259" s="75">
        <v>3307.8105667097857</v>
      </c>
      <c r="C259" s="237">
        <v>50832.791666666664</v>
      </c>
      <c r="D259" s="75">
        <v>0</v>
      </c>
      <c r="E259" s="75">
        <v>500.56279006122264</v>
      </c>
      <c r="F259" s="75">
        <v>-1.6607771440631918</v>
      </c>
      <c r="G259" s="75">
        <v>3307.8105667097857</v>
      </c>
      <c r="H259" s="56" t="str">
        <f t="shared" ref="H259:H322" si="5">IF(MONTH(A259)=7,B259-G259,"")</f>
        <v/>
      </c>
    </row>
    <row r="260" spans="1:8">
      <c r="A260" s="236">
        <v>50861</v>
      </c>
      <c r="B260" s="75">
        <v>2930.549042404698</v>
      </c>
      <c r="C260" s="237">
        <v>50865.833333333336</v>
      </c>
      <c r="D260" s="75">
        <v>0</v>
      </c>
      <c r="E260" s="75">
        <v>444.9025975709892</v>
      </c>
      <c r="F260" s="75">
        <v>-0.16050281861708268</v>
      </c>
      <c r="G260" s="75">
        <v>2930.5490424046984</v>
      </c>
      <c r="H260" s="56" t="str">
        <f t="shared" si="5"/>
        <v/>
      </c>
    </row>
    <row r="261" spans="1:8">
      <c r="A261" s="236">
        <v>50891</v>
      </c>
      <c r="B261" s="75">
        <v>3610.8417474822245</v>
      </c>
      <c r="C261" s="237">
        <v>50921.75</v>
      </c>
      <c r="D261" s="75">
        <v>0</v>
      </c>
      <c r="E261" s="75">
        <v>411.47439336524286</v>
      </c>
      <c r="F261" s="75">
        <v>-35.70605209010008</v>
      </c>
      <c r="G261" s="75">
        <v>3610.8417474822249</v>
      </c>
      <c r="H261" s="56" t="str">
        <f t="shared" si="5"/>
        <v/>
      </c>
    </row>
    <row r="262" spans="1:8">
      <c r="A262" s="236">
        <v>50922</v>
      </c>
      <c r="B262" s="75">
        <v>4007.8852703875464</v>
      </c>
      <c r="C262" s="237">
        <v>50942.75</v>
      </c>
      <c r="D262" s="75">
        <v>0</v>
      </c>
      <c r="E262" s="75">
        <v>347.13969324411488</v>
      </c>
      <c r="F262" s="75">
        <v>-39.40646904348435</v>
      </c>
      <c r="G262" s="75">
        <v>4007.8852703875464</v>
      </c>
      <c r="H262" s="56" t="str">
        <f t="shared" si="5"/>
        <v/>
      </c>
    </row>
    <row r="263" spans="1:8">
      <c r="A263" s="236">
        <v>50952</v>
      </c>
      <c r="B263" s="75">
        <v>4342.1701786889353</v>
      </c>
      <c r="C263" s="237">
        <v>50970.75</v>
      </c>
      <c r="D263" s="75">
        <v>0</v>
      </c>
      <c r="E263" s="75">
        <v>349.79967854830727</v>
      </c>
      <c r="F263" s="75">
        <v>-45.938509703141257</v>
      </c>
      <c r="G263" s="75">
        <v>4342.1701786889353</v>
      </c>
      <c r="H263" s="56">
        <f t="shared" si="5"/>
        <v>0</v>
      </c>
    </row>
    <row r="264" spans="1:8">
      <c r="A264" s="236">
        <v>50983</v>
      </c>
      <c r="B264" s="75">
        <v>4194.0972365635871</v>
      </c>
      <c r="C264" s="237">
        <v>50986.708333333336</v>
      </c>
      <c r="D264" s="75">
        <v>0</v>
      </c>
      <c r="E264" s="75">
        <v>318.27674159417614</v>
      </c>
      <c r="F264" s="75">
        <v>-67.53599621545024</v>
      </c>
      <c r="G264" s="75">
        <v>4194.0972365635862</v>
      </c>
      <c r="H264" s="56" t="str">
        <f t="shared" si="5"/>
        <v/>
      </c>
    </row>
    <row r="265" spans="1:8">
      <c r="A265" s="236">
        <v>51014</v>
      </c>
      <c r="B265" s="75">
        <v>3797.5619799132651</v>
      </c>
      <c r="C265" s="237">
        <v>51015.708333333336</v>
      </c>
      <c r="D265" s="75">
        <v>0</v>
      </c>
      <c r="E265" s="75">
        <v>303.89593215595329</v>
      </c>
      <c r="F265" s="75">
        <v>-53.270760582298806</v>
      </c>
      <c r="G265" s="75">
        <v>3797.5619799132655</v>
      </c>
      <c r="H265" s="56" t="str">
        <f t="shared" si="5"/>
        <v/>
      </c>
    </row>
    <row r="266" spans="1:8">
      <c r="A266" s="236">
        <v>51044</v>
      </c>
      <c r="B266" s="75">
        <v>3054.4900564631271</v>
      </c>
      <c r="C266" s="237">
        <v>51046.791666666664</v>
      </c>
      <c r="D266" s="75">
        <v>0</v>
      </c>
      <c r="E266" s="75">
        <v>483.8101603934274</v>
      </c>
      <c r="F266" s="75">
        <v>0</v>
      </c>
      <c r="G266" s="75">
        <v>3054.4900564631271</v>
      </c>
      <c r="H266" s="56" t="str">
        <f t="shared" si="5"/>
        <v/>
      </c>
    </row>
    <row r="267" spans="1:8">
      <c r="A267" s="236">
        <v>51075</v>
      </c>
      <c r="B267" s="75">
        <v>3459.441551504327</v>
      </c>
      <c r="C267" s="237">
        <v>51102.791666666664</v>
      </c>
      <c r="D267" s="75">
        <v>0</v>
      </c>
      <c r="E267" s="75">
        <v>513.92604956561843</v>
      </c>
      <c r="F267" s="75">
        <v>0</v>
      </c>
      <c r="G267" s="75">
        <v>3459.441551504327</v>
      </c>
      <c r="H267" s="56" t="str">
        <f t="shared" si="5"/>
        <v/>
      </c>
    </row>
    <row r="268" spans="1:8">
      <c r="A268" s="236">
        <v>51105</v>
      </c>
      <c r="B268" s="75">
        <v>3719.1839881480505</v>
      </c>
      <c r="C268" s="237">
        <v>51123.791666666664</v>
      </c>
      <c r="D268" s="75">
        <v>0</v>
      </c>
      <c r="E268" s="75">
        <v>572.10795034621538</v>
      </c>
      <c r="F268" s="75">
        <v>0</v>
      </c>
      <c r="G268" s="75">
        <v>3719.183988148051</v>
      </c>
      <c r="H268" s="56" t="str">
        <f t="shared" si="5"/>
        <v/>
      </c>
    </row>
    <row r="269" spans="1:8">
      <c r="A269" s="236">
        <v>51136</v>
      </c>
      <c r="B269" s="75">
        <v>3968.5873447690074</v>
      </c>
      <c r="C269" s="237">
        <v>51153.791666666664</v>
      </c>
      <c r="D269" s="75">
        <v>0</v>
      </c>
      <c r="E269" s="75">
        <v>556.00659485805897</v>
      </c>
      <c r="F269" s="75">
        <v>0</v>
      </c>
      <c r="G269" s="75">
        <v>3968.5873447690074</v>
      </c>
      <c r="H269" s="56" t="str">
        <f t="shared" si="5"/>
        <v/>
      </c>
    </row>
    <row r="270" spans="1:8">
      <c r="A270" s="236">
        <v>51167</v>
      </c>
      <c r="B270" s="75">
        <v>3712.5453865605414</v>
      </c>
      <c r="C270" s="237">
        <v>51179.791666666664</v>
      </c>
      <c r="D270" s="75">
        <v>0</v>
      </c>
      <c r="E270" s="75">
        <v>544.76182364950148</v>
      </c>
      <c r="F270" s="75">
        <v>0</v>
      </c>
      <c r="G270" s="75">
        <v>3712.5453865605414</v>
      </c>
      <c r="H270" s="56" t="str">
        <f t="shared" si="5"/>
        <v/>
      </c>
    </row>
    <row r="271" spans="1:8">
      <c r="A271" s="236">
        <v>51196</v>
      </c>
      <c r="B271" s="75">
        <v>3270.8860347180162</v>
      </c>
      <c r="C271" s="237">
        <v>51196.791666666664</v>
      </c>
      <c r="D271" s="75">
        <v>0</v>
      </c>
      <c r="E271" s="75">
        <v>548.05830543719753</v>
      </c>
      <c r="F271" s="75">
        <v>-1.7586931930530454</v>
      </c>
      <c r="G271" s="75">
        <v>3270.8860347180157</v>
      </c>
      <c r="H271" s="56" t="str">
        <f t="shared" si="5"/>
        <v/>
      </c>
    </row>
    <row r="272" spans="1:8">
      <c r="A272" s="236">
        <v>51227</v>
      </c>
      <c r="B272" s="75">
        <v>2928.4320570383379</v>
      </c>
      <c r="C272" s="237">
        <v>51231.833333333336</v>
      </c>
      <c r="D272" s="75">
        <v>0</v>
      </c>
      <c r="E272" s="75">
        <v>486.61897820868808</v>
      </c>
      <c r="F272" s="75">
        <v>-0.16992009959111543</v>
      </c>
      <c r="G272" s="75">
        <v>2928.4320570383379</v>
      </c>
      <c r="H272" s="56" t="str">
        <f t="shared" si="5"/>
        <v/>
      </c>
    </row>
    <row r="273" spans="1:8">
      <c r="A273" s="236">
        <v>51257</v>
      </c>
      <c r="B273" s="75">
        <v>3653.0720241206627</v>
      </c>
      <c r="C273" s="237">
        <v>51286.75</v>
      </c>
      <c r="D273" s="75">
        <v>0</v>
      </c>
      <c r="E273" s="75">
        <v>447.0991965463968</v>
      </c>
      <c r="F273" s="75">
        <v>-37.793082455332673</v>
      </c>
      <c r="G273" s="75">
        <v>3653.0720241206627</v>
      </c>
      <c r="H273" s="56" t="str">
        <f t="shared" si="5"/>
        <v/>
      </c>
    </row>
    <row r="274" spans="1:8">
      <c r="A274" s="236">
        <v>51288</v>
      </c>
      <c r="B274" s="75">
        <v>4032.0396991438274</v>
      </c>
      <c r="C274" s="237">
        <v>51312.75</v>
      </c>
      <c r="D274" s="75">
        <v>0</v>
      </c>
      <c r="E274" s="75">
        <v>377.16797178922417</v>
      </c>
      <c r="F274" s="75">
        <v>-41.701116908939696</v>
      </c>
      <c r="G274" s="75">
        <v>4032.0396991438279</v>
      </c>
      <c r="H274" s="56" t="str">
        <f t="shared" si="5"/>
        <v/>
      </c>
    </row>
    <row r="275" spans="1:8">
      <c r="A275" s="236">
        <v>51318</v>
      </c>
      <c r="B275" s="75">
        <v>4354.3845184578649</v>
      </c>
      <c r="C275" s="237">
        <v>51336.75</v>
      </c>
      <c r="D275" s="75">
        <v>0</v>
      </c>
      <c r="E275" s="75">
        <v>377.41497042461401</v>
      </c>
      <c r="F275" s="75">
        <v>-48.603234237973034</v>
      </c>
      <c r="G275" s="75">
        <v>4354.3845184578659</v>
      </c>
      <c r="H275" s="56">
        <f t="shared" si="5"/>
        <v>-9.0949470177292824E-13</v>
      </c>
    </row>
    <row r="276" spans="1:8">
      <c r="A276" s="236">
        <v>51349</v>
      </c>
      <c r="B276" s="75">
        <v>4227.5769762600248</v>
      </c>
      <c r="C276" s="237">
        <v>51350.708333333336</v>
      </c>
      <c r="D276" s="75">
        <v>0</v>
      </c>
      <c r="E276" s="75">
        <v>344.3087088846525</v>
      </c>
      <c r="F276" s="75">
        <v>-71.441791620547619</v>
      </c>
      <c r="G276" s="75">
        <v>4227.5769762600248</v>
      </c>
      <c r="H276" s="56" t="str">
        <f t="shared" si="5"/>
        <v/>
      </c>
    </row>
    <row r="277" spans="1:8">
      <c r="A277" s="236">
        <v>51380</v>
      </c>
      <c r="B277" s="75">
        <v>3889.1519306565488</v>
      </c>
      <c r="C277" s="237">
        <v>51381.708333333336</v>
      </c>
      <c r="D277" s="75">
        <v>0</v>
      </c>
      <c r="E277" s="75">
        <v>356.92780583371007</v>
      </c>
      <c r="F277" s="75">
        <v>-56.336853793930267</v>
      </c>
      <c r="G277" s="75">
        <v>3889.1519306565488</v>
      </c>
      <c r="H277" s="56" t="str">
        <f t="shared" si="5"/>
        <v/>
      </c>
    </row>
    <row r="278" spans="1:8">
      <c r="A278" s="236">
        <v>51410</v>
      </c>
      <c r="B278" s="75">
        <v>3087.7595442094726</v>
      </c>
      <c r="C278" s="237">
        <v>51412.791666666664</v>
      </c>
      <c r="D278" s="75">
        <v>0</v>
      </c>
      <c r="E278" s="75">
        <v>524.29577005307419</v>
      </c>
      <c r="F278" s="75">
        <v>0</v>
      </c>
      <c r="G278" s="75">
        <v>3087.7595442094726</v>
      </c>
      <c r="H278" s="56" t="str">
        <f t="shared" si="5"/>
        <v/>
      </c>
    </row>
    <row r="279" spans="1:8">
      <c r="A279" s="236">
        <v>51441</v>
      </c>
      <c r="B279" s="75">
        <v>3492.3510605258448</v>
      </c>
      <c r="C279" s="237">
        <v>51468.791666666664</v>
      </c>
      <c r="D279" s="75">
        <v>0</v>
      </c>
      <c r="E279" s="75">
        <v>558.18630503788359</v>
      </c>
      <c r="F279" s="75">
        <v>0</v>
      </c>
      <c r="G279" s="75">
        <v>3492.3510605258448</v>
      </c>
      <c r="H279" s="56" t="str">
        <f t="shared" si="5"/>
        <v/>
      </c>
    </row>
    <row r="280" spans="1:8">
      <c r="A280" s="236">
        <v>51471</v>
      </c>
      <c r="B280" s="75">
        <v>3745.9053490255847</v>
      </c>
      <c r="C280" s="237">
        <v>51489.791666666664</v>
      </c>
      <c r="D280" s="75">
        <v>0</v>
      </c>
      <c r="E280" s="75">
        <v>621.50556632463326</v>
      </c>
      <c r="F280" s="75">
        <v>0</v>
      </c>
      <c r="G280" s="75">
        <v>3745.9053490255847</v>
      </c>
      <c r="H280" s="56" t="str">
        <f t="shared" si="5"/>
        <v/>
      </c>
    </row>
    <row r="281" spans="1:8">
      <c r="A281" s="236">
        <v>51502</v>
      </c>
      <c r="B281" s="75">
        <v>4009.0225044123013</v>
      </c>
      <c r="C281" s="237">
        <v>51522.791666666664</v>
      </c>
      <c r="D281" s="75">
        <v>0</v>
      </c>
      <c r="E281" s="75">
        <v>594.92705649812319</v>
      </c>
      <c r="F281" s="75">
        <v>0</v>
      </c>
      <c r="G281" s="75">
        <v>4009.0225044123013</v>
      </c>
      <c r="H281" s="56" t="str">
        <f t="shared" si="5"/>
        <v/>
      </c>
    </row>
    <row r="282" spans="1:8">
      <c r="A282" s="236">
        <v>51533</v>
      </c>
      <c r="B282" s="75">
        <v>3744.0677524606922</v>
      </c>
      <c r="C282" s="237">
        <v>51537.791666666664</v>
      </c>
      <c r="D282" s="75">
        <v>0</v>
      </c>
      <c r="E282" s="75">
        <v>582.89515130496613</v>
      </c>
      <c r="F282" s="75">
        <v>0</v>
      </c>
      <c r="G282" s="75">
        <v>3744.0677524606922</v>
      </c>
      <c r="H282" s="56" t="str">
        <f t="shared" si="5"/>
        <v/>
      </c>
    </row>
    <row r="283" spans="1:8">
      <c r="A283" s="236">
        <v>51561</v>
      </c>
      <c r="B283" s="75">
        <v>3338.0996549081374</v>
      </c>
      <c r="C283" s="237">
        <v>51564.791666666664</v>
      </c>
      <c r="D283" s="75">
        <v>0</v>
      </c>
      <c r="E283" s="75">
        <v>586.42238681780213</v>
      </c>
      <c r="F283" s="75">
        <v>-1.8579537751556763</v>
      </c>
      <c r="G283" s="75">
        <v>3338.0996549081369</v>
      </c>
      <c r="H283" s="56" t="str">
        <f t="shared" si="5"/>
        <v/>
      </c>
    </row>
    <row r="284" spans="1:8">
      <c r="A284" s="236">
        <v>51592</v>
      </c>
      <c r="B284" s="75">
        <v>3067.565560643457</v>
      </c>
      <c r="C284" s="237">
        <v>51592.833333333336</v>
      </c>
      <c r="D284" s="75">
        <v>0</v>
      </c>
      <c r="E284" s="75">
        <v>520.68230668329659</v>
      </c>
      <c r="F284" s="75">
        <v>-0.17946126294397238</v>
      </c>
      <c r="G284" s="75">
        <v>3067.565560643457</v>
      </c>
      <c r="H284" s="56" t="str">
        <f t="shared" si="5"/>
        <v/>
      </c>
    </row>
    <row r="285" spans="1:8">
      <c r="A285" s="236">
        <v>51622</v>
      </c>
      <c r="B285" s="75">
        <v>3673.3329698614734</v>
      </c>
      <c r="C285" s="237">
        <v>51651.75</v>
      </c>
      <c r="D285" s="75">
        <v>0</v>
      </c>
      <c r="E285" s="75">
        <v>478.39614030464401</v>
      </c>
      <c r="F285" s="75">
        <v>-39.909010379430846</v>
      </c>
      <c r="G285" s="75">
        <v>3673.3329698614734</v>
      </c>
      <c r="H285" s="56" t="str">
        <f t="shared" si="5"/>
        <v/>
      </c>
    </row>
    <row r="286" spans="1:8">
      <c r="A286" s="236">
        <v>51653</v>
      </c>
      <c r="B286" s="75">
        <v>4069.0927095674879</v>
      </c>
      <c r="C286" s="237">
        <v>51677.75</v>
      </c>
      <c r="D286" s="75">
        <v>0</v>
      </c>
      <c r="E286" s="75">
        <v>403.56972981446916</v>
      </c>
      <c r="F286" s="75">
        <v>-44.029138392768772</v>
      </c>
      <c r="G286" s="75">
        <v>4069.0927095674879</v>
      </c>
      <c r="H286" s="56" t="str">
        <f t="shared" si="5"/>
        <v/>
      </c>
    </row>
    <row r="287" spans="1:8">
      <c r="A287" s="236">
        <v>51683</v>
      </c>
      <c r="B287" s="75">
        <v>4364.6545382547465</v>
      </c>
      <c r="C287" s="237">
        <v>51701.708333333336</v>
      </c>
      <c r="D287" s="75">
        <v>0</v>
      </c>
      <c r="E287" s="75">
        <v>369.4234245760673</v>
      </c>
      <c r="F287" s="75">
        <v>-87.850938922850347</v>
      </c>
      <c r="G287" s="75">
        <v>4364.6545382547456</v>
      </c>
      <c r="H287" s="56">
        <f t="shared" si="5"/>
        <v>9.0949470177292824E-13</v>
      </c>
    </row>
    <row r="288" spans="1:8">
      <c r="A288" s="236">
        <v>51714</v>
      </c>
      <c r="B288" s="75">
        <v>4237.7796083799294</v>
      </c>
      <c r="C288" s="237">
        <v>51715.708333333336</v>
      </c>
      <c r="D288" s="75">
        <v>0</v>
      </c>
      <c r="E288" s="75">
        <v>368.41031850657896</v>
      </c>
      <c r="F288" s="75">
        <v>-75.408367135620679</v>
      </c>
      <c r="G288" s="75">
        <v>4237.7796083799285</v>
      </c>
      <c r="H288" s="56" t="str">
        <f t="shared" si="5"/>
        <v/>
      </c>
    </row>
    <row r="289" spans="1:8">
      <c r="A289" s="236">
        <v>51745</v>
      </c>
      <c r="B289" s="75">
        <v>3914.7936082932265</v>
      </c>
      <c r="C289" s="237">
        <v>51746.75</v>
      </c>
      <c r="D289" s="75">
        <v>0</v>
      </c>
      <c r="E289" s="75">
        <v>389.82672574140815</v>
      </c>
      <c r="F289" s="75">
        <v>-21.979178295716995</v>
      </c>
      <c r="G289" s="75">
        <v>3914.793608293227</v>
      </c>
      <c r="H289" s="56" t="str">
        <f t="shared" si="5"/>
        <v/>
      </c>
    </row>
    <row r="290" spans="1:8">
      <c r="A290" s="236">
        <v>51775</v>
      </c>
      <c r="B290" s="75">
        <v>3121.5371852172448</v>
      </c>
      <c r="C290" s="237">
        <v>51777.791666666664</v>
      </c>
      <c r="D290" s="75">
        <v>0</v>
      </c>
      <c r="E290" s="75">
        <v>560.99647395679006</v>
      </c>
      <c r="F290" s="75">
        <v>0</v>
      </c>
      <c r="G290" s="75">
        <v>3121.5371852172452</v>
      </c>
      <c r="H290" s="56" t="str">
        <f t="shared" si="5"/>
        <v/>
      </c>
    </row>
    <row r="291" spans="1:8">
      <c r="A291" s="236">
        <v>51806</v>
      </c>
      <c r="B291" s="75">
        <v>3482.9587086858687</v>
      </c>
      <c r="C291" s="237">
        <v>51832.791666666664</v>
      </c>
      <c r="D291" s="75">
        <v>0</v>
      </c>
      <c r="E291" s="75">
        <v>597.25934639053651</v>
      </c>
      <c r="F291" s="75">
        <v>0</v>
      </c>
      <c r="G291" s="75">
        <v>3482.9587086858687</v>
      </c>
      <c r="H291" s="56" t="str">
        <f t="shared" si="5"/>
        <v/>
      </c>
    </row>
    <row r="292" spans="1:8">
      <c r="A292" s="236">
        <v>51836</v>
      </c>
      <c r="B292" s="75">
        <v>3772.7452504749849</v>
      </c>
      <c r="C292" s="237">
        <v>51854.791666666664</v>
      </c>
      <c r="D292" s="75">
        <v>0</v>
      </c>
      <c r="E292" s="75">
        <v>665.0109559673574</v>
      </c>
      <c r="F292" s="75">
        <v>0</v>
      </c>
      <c r="G292" s="75">
        <v>3772.7452504749845</v>
      </c>
      <c r="H292" s="56" t="str">
        <f t="shared" si="5"/>
        <v/>
      </c>
    </row>
    <row r="293" spans="1:8">
      <c r="A293" s="236">
        <v>51867</v>
      </c>
      <c r="B293" s="75">
        <v>3991.030259906569</v>
      </c>
      <c r="C293" s="237">
        <v>51887.791666666664</v>
      </c>
      <c r="D293" s="75">
        <v>0</v>
      </c>
      <c r="E293" s="75">
        <v>636.57195045299318</v>
      </c>
      <c r="F293" s="75">
        <v>0</v>
      </c>
      <c r="G293" s="75">
        <v>3991.0302599065694</v>
      </c>
      <c r="H293" s="56" t="str">
        <f t="shared" si="5"/>
        <v/>
      </c>
    </row>
    <row r="294" spans="1:8">
      <c r="A294" s="236">
        <v>51898</v>
      </c>
      <c r="B294" s="75">
        <v>3762.0606710796069</v>
      </c>
      <c r="C294" s="237">
        <v>51902.791666666664</v>
      </c>
      <c r="D294" s="75">
        <v>0</v>
      </c>
      <c r="E294" s="75">
        <v>623.69781189631465</v>
      </c>
      <c r="F294" s="75">
        <v>0</v>
      </c>
      <c r="G294" s="75">
        <v>3762.0606710796069</v>
      </c>
      <c r="H294" s="56" t="str">
        <f t="shared" si="5"/>
        <v/>
      </c>
    </row>
    <row r="295" spans="1:8">
      <c r="A295" s="236">
        <v>51926</v>
      </c>
      <c r="B295" s="75">
        <v>3462.2996108995299</v>
      </c>
      <c r="C295" s="237">
        <v>51928.791666666664</v>
      </c>
      <c r="D295" s="75">
        <v>0</v>
      </c>
      <c r="E295" s="75">
        <v>627.47195389504691</v>
      </c>
      <c r="F295" s="75">
        <v>-1.9596570929377146</v>
      </c>
      <c r="G295" s="75">
        <v>3462.2996108995299</v>
      </c>
      <c r="H295" s="56" t="str">
        <f t="shared" si="5"/>
        <v/>
      </c>
    </row>
    <row r="296" spans="1:8">
      <c r="A296" s="236">
        <v>51957</v>
      </c>
      <c r="B296" s="75">
        <v>3079.8222686610629</v>
      </c>
      <c r="C296" s="237">
        <v>51957.833333333336</v>
      </c>
      <c r="D296" s="75">
        <v>0</v>
      </c>
      <c r="E296" s="75">
        <v>557.13006815112692</v>
      </c>
      <c r="F296" s="75">
        <v>-0.18924722225269458</v>
      </c>
      <c r="G296" s="75">
        <v>3079.8222686610625</v>
      </c>
      <c r="H296" s="56" t="str">
        <f t="shared" si="5"/>
        <v/>
      </c>
    </row>
    <row r="297" spans="1:8">
      <c r="A297" s="236">
        <v>51987</v>
      </c>
      <c r="B297" s="75">
        <v>3669.5710314119528</v>
      </c>
      <c r="C297" s="237">
        <v>52016.75</v>
      </c>
      <c r="D297" s="75">
        <v>0</v>
      </c>
      <c r="E297" s="75">
        <v>511.88387012596962</v>
      </c>
      <c r="F297" s="75">
        <v>-42.083107705938538</v>
      </c>
      <c r="G297" s="75">
        <v>3669.5710314119533</v>
      </c>
      <c r="H297" s="56" t="str">
        <f t="shared" si="5"/>
        <v/>
      </c>
    </row>
    <row r="298" spans="1:8">
      <c r="A298" s="236">
        <v>52018</v>
      </c>
      <c r="B298" s="75">
        <v>4095.1286670550967</v>
      </c>
      <c r="C298" s="237">
        <v>52042.75</v>
      </c>
      <c r="D298" s="75">
        <v>0</v>
      </c>
      <c r="E298" s="75">
        <v>431.81961090148224</v>
      </c>
      <c r="F298" s="75">
        <v>-46.426545273038968</v>
      </c>
      <c r="G298" s="75">
        <v>4095.1286670550967</v>
      </c>
      <c r="H298" s="56" t="str">
        <f t="shared" si="5"/>
        <v/>
      </c>
    </row>
    <row r="299" spans="1:8">
      <c r="A299" s="236">
        <v>52048</v>
      </c>
      <c r="B299" s="75">
        <v>4434.2403213623684</v>
      </c>
      <c r="C299" s="237">
        <v>52068.75</v>
      </c>
      <c r="D299" s="75">
        <v>0</v>
      </c>
      <c r="E299" s="75">
        <v>432.10239963913955</v>
      </c>
      <c r="F299" s="75">
        <v>-54.098429573750167</v>
      </c>
      <c r="G299" s="75">
        <v>4434.2403213623675</v>
      </c>
      <c r="H299" s="56">
        <f t="shared" si="5"/>
        <v>9.0949470177292824E-13</v>
      </c>
    </row>
    <row r="300" spans="1:8">
      <c r="A300" s="236">
        <v>52079</v>
      </c>
      <c r="B300" s="75">
        <v>4312.0759586976374</v>
      </c>
      <c r="C300" s="237">
        <v>52082.75</v>
      </c>
      <c r="D300" s="75">
        <v>0</v>
      </c>
      <c r="E300" s="75">
        <v>431.59483011001106</v>
      </c>
      <c r="F300" s="75">
        <v>-43.946736991764084</v>
      </c>
      <c r="G300" s="75">
        <v>4312.0759586976374</v>
      </c>
      <c r="H300" s="56" t="str">
        <f t="shared" si="5"/>
        <v/>
      </c>
    </row>
    <row r="301" spans="1:8">
      <c r="A301" s="236">
        <v>52110</v>
      </c>
      <c r="B301" s="75">
        <v>3912.1369636884174</v>
      </c>
      <c r="C301" s="237">
        <v>52111.75</v>
      </c>
      <c r="D301" s="75">
        <v>0</v>
      </c>
      <c r="E301" s="75">
        <v>417.11459654330571</v>
      </c>
      <c r="F301" s="75">
        <v>-23.168625814695652</v>
      </c>
      <c r="G301" s="75">
        <v>3912.1369636884178</v>
      </c>
      <c r="H301" s="56" t="str">
        <f t="shared" si="5"/>
        <v/>
      </c>
    </row>
    <row r="302" spans="1:8">
      <c r="A302" s="236">
        <v>52140</v>
      </c>
      <c r="B302" s="75">
        <v>3115.4287606108833</v>
      </c>
      <c r="C302" s="237">
        <v>52141.791666666664</v>
      </c>
      <c r="D302" s="75">
        <v>0</v>
      </c>
      <c r="E302" s="75">
        <v>600.26622713376537</v>
      </c>
      <c r="F302" s="75">
        <v>0</v>
      </c>
      <c r="G302" s="75">
        <v>3115.4287606108828</v>
      </c>
      <c r="H302" s="56" t="str">
        <f t="shared" si="5"/>
        <v/>
      </c>
    </row>
    <row r="303" spans="1:8">
      <c r="A303" s="236">
        <v>52171</v>
      </c>
      <c r="B303" s="75">
        <v>3488.5183647486565</v>
      </c>
      <c r="C303" s="237">
        <v>52194.791666666664</v>
      </c>
      <c r="D303" s="75">
        <v>0</v>
      </c>
      <c r="E303" s="75">
        <v>639.0675006378732</v>
      </c>
      <c r="F303" s="75">
        <v>0</v>
      </c>
      <c r="G303" s="75">
        <v>3488.518364748656</v>
      </c>
      <c r="H303" s="56" t="str">
        <f t="shared" si="5"/>
        <v/>
      </c>
    </row>
    <row r="304" spans="1:8">
      <c r="A304" s="236">
        <v>52201</v>
      </c>
      <c r="B304" s="75">
        <v>3795.2316876053933</v>
      </c>
      <c r="C304" s="237">
        <v>52218.791666666664</v>
      </c>
      <c r="D304" s="75">
        <v>0</v>
      </c>
      <c r="E304" s="75">
        <v>711.56172288507196</v>
      </c>
      <c r="F304" s="75">
        <v>0</v>
      </c>
      <c r="G304" s="75">
        <v>3795.2316876053933</v>
      </c>
      <c r="H304" s="56" t="str">
        <f t="shared" si="5"/>
        <v/>
      </c>
    </row>
    <row r="305" spans="1:8">
      <c r="A305" s="236">
        <v>52232</v>
      </c>
      <c r="B305" s="75">
        <v>4003.3456912482275</v>
      </c>
      <c r="C305" s="237">
        <v>52252.791666666664</v>
      </c>
      <c r="D305" s="75">
        <v>0</v>
      </c>
      <c r="E305" s="75">
        <v>681.13198698470194</v>
      </c>
      <c r="F305" s="75">
        <v>0</v>
      </c>
      <c r="G305" s="75">
        <v>4003.3456912482275</v>
      </c>
      <c r="H305" s="56" t="str">
        <f t="shared" si="5"/>
        <v/>
      </c>
    </row>
    <row r="306" spans="1:8">
      <c r="A306" s="236">
        <v>52263</v>
      </c>
      <c r="B306" s="75">
        <v>3795.9307721437108</v>
      </c>
      <c r="C306" s="237">
        <v>52267.791666666664</v>
      </c>
      <c r="D306" s="75">
        <v>0</v>
      </c>
      <c r="E306" s="75">
        <v>667.35665872905679</v>
      </c>
      <c r="F306" s="75">
        <v>0</v>
      </c>
      <c r="G306" s="75">
        <v>3795.9307721437108</v>
      </c>
      <c r="H306" s="56" t="str">
        <f t="shared" si="5"/>
        <v/>
      </c>
    </row>
    <row r="307" spans="1:8">
      <c r="A307" s="236">
        <v>52291</v>
      </c>
      <c r="B307" s="75">
        <v>3469.3944352172316</v>
      </c>
      <c r="C307" s="237">
        <v>52293.791666666664</v>
      </c>
      <c r="D307" s="75">
        <v>0</v>
      </c>
      <c r="E307" s="75">
        <v>671.39499066770134</v>
      </c>
      <c r="F307" s="75">
        <v>-2.0647550999311357</v>
      </c>
      <c r="G307" s="75">
        <v>3469.3944352172321</v>
      </c>
      <c r="H307" s="56" t="str">
        <f t="shared" si="5"/>
        <v/>
      </c>
    </row>
    <row r="308" spans="1:8">
      <c r="A308" s="236">
        <v>52322</v>
      </c>
      <c r="B308" s="75">
        <v>3117.087322901215</v>
      </c>
      <c r="C308" s="237">
        <v>52322.833333333336</v>
      </c>
      <c r="D308" s="75">
        <v>0</v>
      </c>
      <c r="E308" s="75">
        <v>596.12917292170562</v>
      </c>
      <c r="F308" s="75">
        <v>-0.19933216371120244</v>
      </c>
      <c r="G308" s="75">
        <v>3117.0873229012154</v>
      </c>
      <c r="H308" s="56" t="str">
        <f t="shared" si="5"/>
        <v/>
      </c>
    </row>
    <row r="309" spans="1:8">
      <c r="A309" s="236">
        <v>52352</v>
      </c>
      <c r="B309" s="75">
        <v>3720.9837881845638</v>
      </c>
      <c r="C309" s="237">
        <v>52379.75</v>
      </c>
      <c r="D309" s="75">
        <v>0</v>
      </c>
      <c r="E309" s="75">
        <v>547.71574103478667</v>
      </c>
      <c r="F309" s="75">
        <v>-44.319749985964471</v>
      </c>
      <c r="G309" s="75">
        <v>3720.9837881845638</v>
      </c>
      <c r="H309" s="56" t="str">
        <f t="shared" si="5"/>
        <v/>
      </c>
    </row>
    <row r="310" spans="1:8">
      <c r="A310" s="236">
        <v>52383</v>
      </c>
      <c r="B310" s="75">
        <v>4122.4538706385974</v>
      </c>
      <c r="C310" s="237">
        <v>52407.75</v>
      </c>
      <c r="D310" s="75">
        <v>0</v>
      </c>
      <c r="E310" s="75">
        <v>462.04698366458672</v>
      </c>
      <c r="F310" s="75">
        <v>-48.886456074152072</v>
      </c>
      <c r="G310" s="75">
        <v>4122.4538706385983</v>
      </c>
      <c r="H310" s="56" t="str">
        <f t="shared" si="5"/>
        <v/>
      </c>
    </row>
    <row r="311" spans="1:8">
      <c r="A311" s="236">
        <v>52413</v>
      </c>
      <c r="B311" s="75">
        <v>4504.081669320286</v>
      </c>
      <c r="C311" s="237">
        <v>52433.75</v>
      </c>
      <c r="D311" s="75">
        <v>0</v>
      </c>
      <c r="E311" s="75">
        <v>462.34956761387974</v>
      </c>
      <c r="F311" s="75">
        <v>-56.952715306171875</v>
      </c>
      <c r="G311" s="75">
        <v>4504.0816693202851</v>
      </c>
      <c r="H311" s="56">
        <f t="shared" si="5"/>
        <v>9.0949470177292824E-13</v>
      </c>
    </row>
    <row r="312" spans="1:8">
      <c r="A312" s="236">
        <v>52444</v>
      </c>
      <c r="B312" s="75">
        <v>4359.1040336759543</v>
      </c>
      <c r="C312" s="237">
        <v>52447.75</v>
      </c>
      <c r="D312" s="75">
        <v>0</v>
      </c>
      <c r="E312" s="75">
        <v>461.8064682177116</v>
      </c>
      <c r="F312" s="75">
        <v>-46.258608727985532</v>
      </c>
      <c r="G312" s="75">
        <v>4359.1040336759543</v>
      </c>
      <c r="H312" s="56" t="str">
        <f t="shared" si="5"/>
        <v/>
      </c>
    </row>
    <row r="313" spans="1:8">
      <c r="A313" s="236">
        <v>52475</v>
      </c>
      <c r="B313" s="75">
        <v>3940.4294857543005</v>
      </c>
      <c r="C313" s="237">
        <v>52476.75</v>
      </c>
      <c r="D313" s="75">
        <v>0</v>
      </c>
      <c r="E313" s="75">
        <v>446.31261830133735</v>
      </c>
      <c r="F313" s="75">
        <v>-24.380717725097881</v>
      </c>
      <c r="G313" s="75">
        <v>3940.4294857543</v>
      </c>
      <c r="H313" s="56" t="str">
        <f t="shared" si="5"/>
        <v/>
      </c>
    </row>
    <row r="314" spans="1:8">
      <c r="A314" s="236">
        <v>52505</v>
      </c>
      <c r="B314" s="75">
        <v>3201.0471450827226</v>
      </c>
      <c r="C314" s="237">
        <v>52510.791666666664</v>
      </c>
      <c r="D314" s="75">
        <v>0</v>
      </c>
      <c r="E314" s="75">
        <v>642.28486303312889</v>
      </c>
      <c r="F314" s="75">
        <v>0</v>
      </c>
      <c r="G314" s="75">
        <v>3201.0471450827222</v>
      </c>
      <c r="H314" s="56" t="str">
        <f t="shared" si="5"/>
        <v/>
      </c>
    </row>
    <row r="315" spans="1:8">
      <c r="A315" s="236">
        <v>52536</v>
      </c>
      <c r="B315" s="75">
        <v>3556.7927767852702</v>
      </c>
      <c r="C315" s="237">
        <v>52558.791666666664</v>
      </c>
      <c r="D315" s="75">
        <v>0</v>
      </c>
      <c r="E315" s="75">
        <v>683.80222568252373</v>
      </c>
      <c r="F315" s="75">
        <v>0</v>
      </c>
      <c r="G315" s="75">
        <v>3556.7927767852702</v>
      </c>
      <c r="H315" s="56" t="str">
        <f t="shared" si="5"/>
        <v/>
      </c>
    </row>
    <row r="316" spans="1:8">
      <c r="A316" s="236">
        <v>52566</v>
      </c>
      <c r="B316" s="75">
        <v>3868.4235037664366</v>
      </c>
      <c r="C316" s="237">
        <v>52573.791666666664</v>
      </c>
      <c r="D316" s="75">
        <v>0</v>
      </c>
      <c r="E316" s="75">
        <v>761.37104348702758</v>
      </c>
      <c r="F316" s="75">
        <v>0</v>
      </c>
      <c r="G316" s="75">
        <v>3868.4235037664371</v>
      </c>
      <c r="H316" s="56" t="str">
        <f t="shared" si="5"/>
        <v/>
      </c>
    </row>
    <row r="317" spans="1:8">
      <c r="A317" s="236">
        <v>52597</v>
      </c>
      <c r="B317" s="75">
        <v>4037.9082211693808</v>
      </c>
      <c r="C317" s="237">
        <v>52617.791666666664</v>
      </c>
      <c r="D317" s="75">
        <v>0</v>
      </c>
      <c r="E317" s="75">
        <v>728.81122607363011</v>
      </c>
      <c r="F317" s="75">
        <v>0</v>
      </c>
      <c r="G317" s="75">
        <v>4037.9082211693808</v>
      </c>
      <c r="H317" s="56" t="str">
        <f t="shared" si="5"/>
        <v/>
      </c>
    </row>
    <row r="318" spans="1:8">
      <c r="A318" s="236">
        <v>52628</v>
      </c>
      <c r="B318" s="75">
        <v>3780.4982655084386</v>
      </c>
      <c r="C318" s="237">
        <v>52632.791666666664</v>
      </c>
      <c r="D318" s="75">
        <v>0</v>
      </c>
      <c r="E318" s="75">
        <v>714.07162484009075</v>
      </c>
      <c r="F318" s="75">
        <v>0</v>
      </c>
      <c r="G318" s="75">
        <v>3780.4982655084386</v>
      </c>
      <c r="H318" s="56" t="str">
        <f t="shared" si="5"/>
        <v/>
      </c>
    </row>
    <row r="319" spans="1:8">
      <c r="A319" s="236">
        <v>52657</v>
      </c>
      <c r="B319" s="75">
        <v>3528.2069806980467</v>
      </c>
      <c r="C319" s="237">
        <v>52659.791666666664</v>
      </c>
      <c r="D319" s="75">
        <v>0</v>
      </c>
      <c r="E319" s="75">
        <v>718.39264001443928</v>
      </c>
      <c r="F319" s="75">
        <v>-2.1709882239264138</v>
      </c>
      <c r="G319" s="75">
        <v>3528.2069806980467</v>
      </c>
      <c r="H319" s="56" t="str">
        <f t="shared" si="5"/>
        <v/>
      </c>
    </row>
    <row r="320" spans="1:8">
      <c r="A320" s="236">
        <v>52688</v>
      </c>
      <c r="B320" s="75">
        <v>3148.3068303102591</v>
      </c>
      <c r="C320" s="237">
        <v>52692.833333333336</v>
      </c>
      <c r="D320" s="75">
        <v>0</v>
      </c>
      <c r="E320" s="75">
        <v>637.85821502622571</v>
      </c>
      <c r="F320" s="75">
        <v>-0.20951700615184626</v>
      </c>
      <c r="G320" s="75">
        <v>3148.3068303102591</v>
      </c>
      <c r="H320" s="56" t="str">
        <f t="shared" si="5"/>
        <v/>
      </c>
    </row>
    <row r="321" spans="1:8">
      <c r="A321" s="236">
        <v>52718</v>
      </c>
      <c r="B321" s="75">
        <v>3804.9844613512237</v>
      </c>
      <c r="C321" s="237">
        <v>52748.75</v>
      </c>
      <c r="D321" s="75">
        <v>0</v>
      </c>
      <c r="E321" s="75">
        <v>586.05584290722231</v>
      </c>
      <c r="F321" s="75">
        <v>-46.577336043421077</v>
      </c>
      <c r="G321" s="75">
        <v>3804.9844613512228</v>
      </c>
      <c r="H321" s="56" t="str">
        <f t="shared" si="5"/>
        <v/>
      </c>
    </row>
    <row r="322" spans="1:8">
      <c r="A322" s="236">
        <v>52749</v>
      </c>
      <c r="B322" s="75">
        <v>4191.0700508050304</v>
      </c>
      <c r="C322" s="237">
        <v>52769.75</v>
      </c>
      <c r="D322" s="75">
        <v>0</v>
      </c>
      <c r="E322" s="75">
        <v>494.39027252110725</v>
      </c>
      <c r="F322" s="75">
        <v>-51.369149977954777</v>
      </c>
      <c r="G322" s="75">
        <v>4191.0700508050304</v>
      </c>
      <c r="H322" s="56" t="str">
        <f t="shared" si="5"/>
        <v/>
      </c>
    </row>
    <row r="323" spans="1:8">
      <c r="A323" s="236">
        <v>52779</v>
      </c>
      <c r="B323" s="75">
        <v>4545.4035505130687</v>
      </c>
      <c r="C323" s="237">
        <v>52797.75</v>
      </c>
      <c r="D323" s="75">
        <v>0</v>
      </c>
      <c r="E323" s="75">
        <v>494.71403734685191</v>
      </c>
      <c r="F323" s="75">
        <v>-59.83513442783817</v>
      </c>
      <c r="G323" s="75">
        <v>4545.4035505130696</v>
      </c>
      <c r="H323" s="56">
        <f t="shared" ref="H323:H386" si="6">IF(MONTH(A323)=7,B323-G323,"")</f>
        <v>-9.0949470177292824E-13</v>
      </c>
    </row>
    <row r="324" spans="1:8">
      <c r="A324" s="236">
        <v>52810</v>
      </c>
      <c r="B324" s="75">
        <v>4381.1386119647641</v>
      </c>
      <c r="C324" s="237">
        <v>52813.75</v>
      </c>
      <c r="D324" s="75">
        <v>0</v>
      </c>
      <c r="E324" s="75">
        <v>494.13292099295239</v>
      </c>
      <c r="F324" s="75">
        <v>-48.592113387534397</v>
      </c>
      <c r="G324" s="75">
        <v>4381.1386119647641</v>
      </c>
      <c r="H324" s="56" t="str">
        <f t="shared" si="6"/>
        <v/>
      </c>
    </row>
    <row r="325" spans="1:8">
      <c r="A325" s="236">
        <v>52841</v>
      </c>
      <c r="B325" s="75">
        <v>3949.0212136854943</v>
      </c>
      <c r="C325" s="237">
        <v>52842.708333333336</v>
      </c>
      <c r="D325" s="75">
        <v>0</v>
      </c>
      <c r="E325" s="75">
        <v>433.48651141175094</v>
      </c>
      <c r="F325" s="75">
        <v>-69.26555502336538</v>
      </c>
      <c r="G325" s="75">
        <v>3949.0212136854943</v>
      </c>
      <c r="H325" s="56" t="str">
        <f t="shared" si="6"/>
        <v/>
      </c>
    </row>
    <row r="326" spans="1:8">
      <c r="A326" s="236">
        <v>52871</v>
      </c>
      <c r="B326" s="75">
        <v>3270.7493692496246</v>
      </c>
      <c r="C326" s="237">
        <v>52873.791666666664</v>
      </c>
      <c r="D326" s="75">
        <v>0</v>
      </c>
      <c r="E326" s="75">
        <v>687.24480344544804</v>
      </c>
      <c r="F326" s="75">
        <v>0</v>
      </c>
      <c r="G326" s="75">
        <v>3270.7493692496246</v>
      </c>
      <c r="H326" s="56" t="str">
        <f t="shared" si="6"/>
        <v/>
      </c>
    </row>
    <row r="327" spans="1:8">
      <c r="A327" s="236">
        <v>52902</v>
      </c>
      <c r="B327" s="75">
        <v>3674.3319982528055</v>
      </c>
      <c r="C327" s="237">
        <v>52929.791666666664</v>
      </c>
      <c r="D327" s="75">
        <v>0</v>
      </c>
      <c r="E327" s="75">
        <v>731.6683814803024</v>
      </c>
      <c r="F327" s="75">
        <v>0</v>
      </c>
      <c r="G327" s="75">
        <v>3674.3319982528055</v>
      </c>
      <c r="H327" s="56" t="str">
        <f t="shared" si="6"/>
        <v/>
      </c>
    </row>
    <row r="328" spans="1:8">
      <c r="A328" s="236">
        <v>52932</v>
      </c>
      <c r="B328" s="75">
        <v>3958.6180583993018</v>
      </c>
      <c r="C328" s="237">
        <v>52950.791666666664</v>
      </c>
      <c r="D328" s="75">
        <v>0</v>
      </c>
      <c r="E328" s="75">
        <v>814.66701653112023</v>
      </c>
      <c r="F328" s="75">
        <v>0</v>
      </c>
      <c r="G328" s="75">
        <v>3958.6180583993018</v>
      </c>
      <c r="H328" s="56" t="str">
        <f t="shared" si="6"/>
        <v/>
      </c>
    </row>
    <row r="329" spans="1:8">
      <c r="A329" s="236">
        <v>52963</v>
      </c>
      <c r="B329" s="75">
        <v>4179.1145730443841</v>
      </c>
      <c r="C329" s="237">
        <v>52980.791666666664</v>
      </c>
      <c r="D329" s="75">
        <v>0</v>
      </c>
      <c r="E329" s="75">
        <v>779.82801189878523</v>
      </c>
      <c r="F329" s="75">
        <v>0</v>
      </c>
      <c r="G329" s="75">
        <v>4179.1145730443841</v>
      </c>
      <c r="H329" s="56" t="str">
        <f t="shared" si="6"/>
        <v/>
      </c>
    </row>
    <row r="330" spans="1:8">
      <c r="A330" s="236">
        <v>52994</v>
      </c>
      <c r="B330" s="75">
        <v>3908.3167082905848</v>
      </c>
      <c r="C330" s="237">
        <v>53006.791666666664</v>
      </c>
      <c r="D330" s="75">
        <v>0</v>
      </c>
      <c r="E330" s="75">
        <v>764.05663857889522</v>
      </c>
      <c r="F330" s="75">
        <v>0</v>
      </c>
      <c r="G330" s="75">
        <v>3908.3167082905843</v>
      </c>
      <c r="H330" s="56" t="str">
        <f t="shared" si="6"/>
        <v/>
      </c>
    </row>
    <row r="331" spans="1:8">
      <c r="A331" s="236">
        <v>53022</v>
      </c>
      <c r="B331" s="75">
        <v>3497.4287820150371</v>
      </c>
      <c r="C331" s="237">
        <v>53023.791666666664</v>
      </c>
      <c r="D331" s="75">
        <v>0</v>
      </c>
      <c r="E331" s="75">
        <v>768.68012481544963</v>
      </c>
      <c r="F331" s="75">
        <v>-2.2817535154526802</v>
      </c>
      <c r="G331" s="75">
        <v>3497.4287820150375</v>
      </c>
      <c r="H331" s="56" t="str">
        <f t="shared" si="6"/>
        <v/>
      </c>
    </row>
    <row r="332" spans="1:8">
      <c r="A332" s="236">
        <v>53053</v>
      </c>
      <c r="B332" s="75">
        <v>3187.388307230965</v>
      </c>
      <c r="C332" s="237">
        <v>53057.833333333336</v>
      </c>
      <c r="D332" s="75">
        <v>0</v>
      </c>
      <c r="E332" s="75">
        <v>682.50829007806124</v>
      </c>
      <c r="F332" s="75">
        <v>-0.22022204509173979</v>
      </c>
      <c r="G332" s="75">
        <v>3187.3883072309645</v>
      </c>
      <c r="H332" s="56" t="str">
        <f t="shared" si="6"/>
        <v/>
      </c>
    </row>
    <row r="333" spans="1:8">
      <c r="A333" s="236">
        <v>53083</v>
      </c>
      <c r="B333" s="75">
        <v>3863.0010359290422</v>
      </c>
      <c r="C333" s="237">
        <v>53112.75</v>
      </c>
      <c r="D333" s="75">
        <v>0</v>
      </c>
      <c r="E333" s="75">
        <v>627.07975191072705</v>
      </c>
      <c r="F333" s="75">
        <v>-48.963176518895715</v>
      </c>
      <c r="G333" s="75">
        <v>3863.0010359290422</v>
      </c>
      <c r="H333" s="56" t="str">
        <f t="shared" si="6"/>
        <v/>
      </c>
    </row>
    <row r="334" spans="1:8">
      <c r="A334" s="236">
        <v>53114</v>
      </c>
      <c r="B334" s="75">
        <v>4224.3343759763666</v>
      </c>
      <c r="C334" s="237">
        <v>53134.75</v>
      </c>
      <c r="D334" s="75">
        <v>0</v>
      </c>
      <c r="E334" s="75">
        <v>528.99759159758548</v>
      </c>
      <c r="F334" s="75">
        <v>-54.008255787993917</v>
      </c>
      <c r="G334" s="75">
        <v>4224.3343759763666</v>
      </c>
      <c r="H334" s="56" t="str">
        <f t="shared" si="6"/>
        <v/>
      </c>
    </row>
    <row r="335" spans="1:8">
      <c r="A335" s="236">
        <v>53144</v>
      </c>
      <c r="B335" s="75">
        <v>4581.9188613713814</v>
      </c>
      <c r="C335" s="237">
        <v>53162.75</v>
      </c>
      <c r="D335" s="75">
        <v>0</v>
      </c>
      <c r="E335" s="75">
        <v>529.34401996113138</v>
      </c>
      <c r="F335" s="75">
        <v>-62.917864875994091</v>
      </c>
      <c r="G335" s="75">
        <v>4581.9188613713814</v>
      </c>
      <c r="H335" s="56">
        <f t="shared" si="6"/>
        <v>0</v>
      </c>
    </row>
    <row r="336" spans="1:8">
      <c r="A336" s="236">
        <v>53175</v>
      </c>
      <c r="B336" s="75">
        <v>4434.843177483468</v>
      </c>
      <c r="C336" s="237">
        <v>53176.75</v>
      </c>
      <c r="D336" s="75">
        <v>0</v>
      </c>
      <c r="E336" s="75">
        <v>528.72222546245894</v>
      </c>
      <c r="F336" s="75">
        <v>-51.102050649592925</v>
      </c>
      <c r="G336" s="75">
        <v>4434.8431774834689</v>
      </c>
      <c r="H336" s="56" t="str">
        <f t="shared" si="6"/>
        <v/>
      </c>
    </row>
    <row r="337" spans="1:8">
      <c r="A337" s="236">
        <v>53206</v>
      </c>
      <c r="B337" s="75">
        <v>4000.9276396755868</v>
      </c>
      <c r="C337" s="237">
        <v>53206.708333333336</v>
      </c>
      <c r="D337" s="75">
        <v>0</v>
      </c>
      <c r="E337" s="75">
        <v>463.83056721057363</v>
      </c>
      <c r="F337" s="75">
        <v>-72.849929301398433</v>
      </c>
      <c r="G337" s="75">
        <v>4000.9276396755868</v>
      </c>
      <c r="H337" s="56" t="str">
        <f t="shared" si="6"/>
        <v/>
      </c>
    </row>
    <row r="338" spans="1:8">
      <c r="A338" s="236">
        <v>53236</v>
      </c>
      <c r="B338" s="75">
        <v>3321.190501394382</v>
      </c>
      <c r="C338" s="237">
        <v>53238.791666666664</v>
      </c>
      <c r="D338" s="75">
        <v>0</v>
      </c>
      <c r="E338" s="75">
        <v>735.35193968663032</v>
      </c>
      <c r="F338" s="75">
        <v>0</v>
      </c>
      <c r="G338" s="75">
        <v>3321.190501394382</v>
      </c>
      <c r="H338" s="56" t="str">
        <f t="shared" si="6"/>
        <v/>
      </c>
    </row>
    <row r="339" spans="1:8">
      <c r="A339" s="236">
        <v>53267</v>
      </c>
      <c r="B339" s="75">
        <v>3720.3474359096331</v>
      </c>
      <c r="C339" s="237">
        <v>53294.791666666664</v>
      </c>
      <c r="D339" s="75">
        <v>0</v>
      </c>
      <c r="E339" s="75">
        <v>782.88516818392191</v>
      </c>
      <c r="F339" s="75">
        <v>0</v>
      </c>
      <c r="G339" s="75">
        <v>3720.3474359096331</v>
      </c>
      <c r="H339" s="56" t="str">
        <f t="shared" si="6"/>
        <v/>
      </c>
    </row>
    <row r="340" spans="1:8">
      <c r="A340" s="236">
        <v>53297</v>
      </c>
      <c r="B340" s="75">
        <v>4006.4877092228758</v>
      </c>
      <c r="C340" s="237">
        <v>53315.791666666664</v>
      </c>
      <c r="D340" s="75">
        <v>0</v>
      </c>
      <c r="E340" s="75">
        <v>871.69370768829981</v>
      </c>
      <c r="F340" s="75">
        <v>0</v>
      </c>
      <c r="G340" s="75">
        <v>4006.4877092228762</v>
      </c>
      <c r="H340" s="56" t="str">
        <f t="shared" si="6"/>
        <v/>
      </c>
    </row>
    <row r="341" spans="1:8">
      <c r="A341" s="236">
        <v>53328</v>
      </c>
      <c r="B341" s="75">
        <v>4241.6121184145441</v>
      </c>
      <c r="C341" s="237">
        <v>53345.791666666664</v>
      </c>
      <c r="D341" s="75">
        <v>0</v>
      </c>
      <c r="E341" s="75">
        <v>834.41597273169805</v>
      </c>
      <c r="F341" s="75">
        <v>0</v>
      </c>
      <c r="G341" s="75">
        <v>4241.6121184145441</v>
      </c>
      <c r="H341" s="56" t="str">
        <f t="shared" si="6"/>
        <v/>
      </c>
    </row>
    <row r="342" spans="1:8">
      <c r="A342" s="236">
        <v>53359</v>
      </c>
      <c r="B342" s="75">
        <v>3991.845511341694</v>
      </c>
      <c r="C342" s="237">
        <v>53363.791666666664</v>
      </c>
      <c r="D342" s="75">
        <v>0</v>
      </c>
      <c r="E342" s="75">
        <v>817.54060327942</v>
      </c>
      <c r="F342" s="75">
        <v>0</v>
      </c>
      <c r="G342" s="75">
        <v>3991.8455113416935</v>
      </c>
      <c r="H342" s="56" t="str">
        <f t="shared" si="6"/>
        <v/>
      </c>
    </row>
    <row r="343" spans="1:8">
      <c r="A343" s="236">
        <v>53387</v>
      </c>
      <c r="B343" s="75">
        <v>3524.4137790844884</v>
      </c>
      <c r="C343" s="237">
        <v>53387.791666666664</v>
      </c>
      <c r="D343" s="75">
        <v>0</v>
      </c>
      <c r="E343" s="75">
        <v>822.48773355253263</v>
      </c>
      <c r="F343" s="75">
        <v>-2.3980831152299111</v>
      </c>
      <c r="G343" s="75">
        <v>3524.4137790844884</v>
      </c>
      <c r="H343" s="56" t="str">
        <f t="shared" si="6"/>
        <v/>
      </c>
    </row>
    <row r="344" spans="1:8">
      <c r="A344" s="236">
        <v>53418</v>
      </c>
      <c r="B344" s="75">
        <v>3204.1696905597591</v>
      </c>
      <c r="C344" s="237">
        <v>53422.833333333336</v>
      </c>
      <c r="D344" s="75">
        <v>0</v>
      </c>
      <c r="E344" s="75">
        <v>730.28387038352525</v>
      </c>
      <c r="F344" s="75">
        <v>-0.23143517857221538</v>
      </c>
      <c r="G344" s="75">
        <v>3204.1696905597587</v>
      </c>
      <c r="H344" s="56" t="str">
        <f t="shared" si="6"/>
        <v/>
      </c>
    </row>
    <row r="345" spans="1:8">
      <c r="A345" s="236">
        <v>53448</v>
      </c>
      <c r="B345" s="75">
        <v>3802.0307275501923</v>
      </c>
      <c r="C345" s="237">
        <v>53477.75</v>
      </c>
      <c r="D345" s="75">
        <v>0</v>
      </c>
      <c r="E345" s="75">
        <v>566.02742300941668</v>
      </c>
      <c r="F345" s="75">
        <v>-51.45107840942191</v>
      </c>
      <c r="G345" s="75">
        <v>3802.0307275501928</v>
      </c>
      <c r="H345" s="56" t="str">
        <f t="shared" si="6"/>
        <v/>
      </c>
    </row>
    <row r="346" spans="1:8">
      <c r="A346" s="236">
        <v>53479</v>
      </c>
      <c r="B346" s="75">
        <v>4269.1613775900487</v>
      </c>
      <c r="C346" s="237">
        <v>53503.75</v>
      </c>
      <c r="D346" s="75">
        <v>0</v>
      </c>
      <c r="E346" s="75">
        <v>566.02742300941566</v>
      </c>
      <c r="F346" s="75">
        <v>-56.746439401854097</v>
      </c>
      <c r="G346" s="75">
        <v>4269.1613775900478</v>
      </c>
      <c r="H346" s="56" t="str">
        <f t="shared" si="6"/>
        <v/>
      </c>
    </row>
    <row r="347" spans="1:8">
      <c r="A347" s="236">
        <v>53509</v>
      </c>
      <c r="B347" s="75">
        <v>4620.1267949819767</v>
      </c>
      <c r="C347" s="237">
        <v>53527.75</v>
      </c>
      <c r="D347" s="75">
        <v>0</v>
      </c>
      <c r="E347" s="75">
        <v>566.39810135840935</v>
      </c>
      <c r="F347" s="75">
        <v>-66.103393652206535</v>
      </c>
      <c r="G347" s="75">
        <v>4620.1267949819776</v>
      </c>
      <c r="H347" s="56">
        <f t="shared" si="6"/>
        <v>-9.0949470177292824E-13</v>
      </c>
    </row>
    <row r="348" spans="1:8">
      <c r="A348" s="236">
        <v>53540</v>
      </c>
      <c r="B348" s="75">
        <v>4480.1029979510022</v>
      </c>
      <c r="C348" s="237">
        <v>53541.833333333336</v>
      </c>
      <c r="D348" s="75">
        <v>0</v>
      </c>
      <c r="E348" s="75">
        <v>708.20791537676769</v>
      </c>
      <c r="F348" s="75">
        <v>-2.0078077570441519</v>
      </c>
      <c r="G348" s="75">
        <v>4480.1029979510022</v>
      </c>
      <c r="H348" s="56" t="str">
        <f t="shared" si="6"/>
        <v/>
      </c>
    </row>
    <row r="349" spans="1:8">
      <c r="A349" s="236">
        <v>53571</v>
      </c>
      <c r="B349" s="75">
        <v>4098.3473739783212</v>
      </c>
      <c r="C349" s="237">
        <v>53572.75</v>
      </c>
      <c r="D349" s="75">
        <v>0</v>
      </c>
      <c r="E349" s="75">
        <v>546.75214886172603</v>
      </c>
      <c r="F349" s="75">
        <v>-28.287290387759743</v>
      </c>
      <c r="G349" s="75">
        <v>4098.3473739783203</v>
      </c>
      <c r="H349" s="56" t="str">
        <f t="shared" si="6"/>
        <v/>
      </c>
    </row>
    <row r="350" spans="1:8">
      <c r="A350" s="236">
        <v>53601</v>
      </c>
      <c r="B350" s="75">
        <v>3368.1850811698769</v>
      </c>
      <c r="C350" s="237">
        <v>53603.791666666664</v>
      </c>
      <c r="D350" s="75">
        <v>0</v>
      </c>
      <c r="E350" s="75">
        <v>786.82657546469557</v>
      </c>
      <c r="F350" s="75">
        <v>0</v>
      </c>
      <c r="G350" s="75">
        <v>3368.1850811698769</v>
      </c>
      <c r="H350" s="56" t="str">
        <f t="shared" si="6"/>
        <v/>
      </c>
    </row>
    <row r="351" spans="1:8">
      <c r="A351" s="236">
        <v>53632</v>
      </c>
      <c r="B351" s="75">
        <v>3864.7491707409031</v>
      </c>
      <c r="C351" s="237">
        <v>53659.791666666664</v>
      </c>
      <c r="D351" s="75">
        <v>0</v>
      </c>
      <c r="E351" s="75">
        <v>932.71226722647953</v>
      </c>
      <c r="F351" s="75">
        <v>0</v>
      </c>
      <c r="G351" s="75">
        <v>3864.7491707409035</v>
      </c>
      <c r="H351" s="56" t="str">
        <f t="shared" si="6"/>
        <v/>
      </c>
    </row>
    <row r="352" spans="1:8">
      <c r="A352" s="236">
        <v>53662</v>
      </c>
      <c r="B352" s="75">
        <v>4055.5201724275753</v>
      </c>
      <c r="C352" s="237">
        <v>53680.791666666664</v>
      </c>
      <c r="D352" s="75">
        <v>0</v>
      </c>
      <c r="E352" s="75">
        <v>932.71226722647702</v>
      </c>
      <c r="F352" s="75">
        <v>0</v>
      </c>
      <c r="G352" s="75">
        <v>4055.5201724275748</v>
      </c>
      <c r="H352" s="56" t="str">
        <f t="shared" si="6"/>
        <v/>
      </c>
    </row>
    <row r="353" spans="1:8">
      <c r="A353" s="236">
        <v>53693</v>
      </c>
      <c r="B353" s="75">
        <v>4300.9033540343044</v>
      </c>
      <c r="C353" s="237">
        <v>53713.791666666664</v>
      </c>
      <c r="D353" s="75">
        <v>0</v>
      </c>
      <c r="E353" s="75">
        <v>892.82509082291892</v>
      </c>
      <c r="F353" s="75">
        <v>0</v>
      </c>
      <c r="G353" s="75">
        <v>4300.9033540343053</v>
      </c>
      <c r="H353" s="56" t="str">
        <f t="shared" si="6"/>
        <v/>
      </c>
    </row>
    <row r="354" spans="1:8">
      <c r="A354" s="236">
        <v>53724</v>
      </c>
      <c r="B354" s="75">
        <v>4035.294063971739</v>
      </c>
      <c r="C354" s="237">
        <v>53728.791666666664</v>
      </c>
      <c r="D354" s="75">
        <v>0</v>
      </c>
      <c r="E354" s="75">
        <v>874.76844550897829</v>
      </c>
      <c r="F354" s="75">
        <v>0</v>
      </c>
      <c r="G354" s="75">
        <v>4035.294063971739</v>
      </c>
      <c r="H354" s="56" t="str">
        <f t="shared" si="6"/>
        <v/>
      </c>
    </row>
    <row r="355" spans="1:8">
      <c r="A355" s="236">
        <v>53752</v>
      </c>
      <c r="B355" s="75">
        <v>3642.0917360010922</v>
      </c>
      <c r="C355" s="237">
        <v>53755.791666666664</v>
      </c>
      <c r="D355" s="75">
        <v>0</v>
      </c>
      <c r="E355" s="75">
        <v>880.06187490120931</v>
      </c>
      <c r="F355" s="75">
        <v>-2.5170069988045278</v>
      </c>
      <c r="G355" s="75">
        <v>3642.0917360010926</v>
      </c>
      <c r="H355" s="56" t="str">
        <f t="shared" si="6"/>
        <v/>
      </c>
    </row>
    <row r="356" spans="1:8">
      <c r="A356" s="236">
        <v>53783</v>
      </c>
      <c r="B356" s="75">
        <v>3367.8060895749172</v>
      </c>
      <c r="C356" s="237">
        <v>53783.833333333336</v>
      </c>
      <c r="D356" s="75">
        <v>0</v>
      </c>
      <c r="E356" s="75">
        <v>781.40374131037174</v>
      </c>
      <c r="F356" s="75">
        <v>-0.24287862878437322</v>
      </c>
      <c r="G356" s="75">
        <v>3367.8060895749172</v>
      </c>
      <c r="H356" s="56" t="str">
        <f t="shared" si="6"/>
        <v/>
      </c>
    </row>
    <row r="357" spans="1:8">
      <c r="A357" s="236">
        <v>53813</v>
      </c>
      <c r="B357" s="75">
        <v>3848.8957357652803</v>
      </c>
      <c r="C357" s="237">
        <v>53842.833333333336</v>
      </c>
      <c r="D357" s="75">
        <v>0</v>
      </c>
      <c r="E357" s="75">
        <v>746.00912313279821</v>
      </c>
      <c r="F357" s="75">
        <v>-0.89472714896854333</v>
      </c>
      <c r="G357" s="75">
        <v>3848.8957357652803</v>
      </c>
      <c r="H357" s="56" t="str">
        <f t="shared" si="6"/>
        <v/>
      </c>
    </row>
    <row r="358" spans="1:8">
      <c r="A358" s="236">
        <v>53844</v>
      </c>
      <c r="B358" s="75">
        <v>4341.807133873298</v>
      </c>
      <c r="C358" s="237">
        <v>53868.833333333336</v>
      </c>
      <c r="D358" s="75">
        <v>0</v>
      </c>
      <c r="E358" s="75">
        <v>775.79504523003538</v>
      </c>
      <c r="F358" s="75">
        <v>-6.2075454750446379</v>
      </c>
      <c r="G358" s="75">
        <v>4341.8071338732989</v>
      </c>
      <c r="H358" s="56" t="str">
        <f t="shared" si="6"/>
        <v/>
      </c>
    </row>
    <row r="359" spans="1:8">
      <c r="A359" s="236">
        <v>53874</v>
      </c>
      <c r="B359" s="75">
        <v>4658.550348345846</v>
      </c>
      <c r="C359" s="237">
        <v>53892.708333333336</v>
      </c>
      <c r="D359" s="75">
        <v>0</v>
      </c>
      <c r="E359" s="75">
        <v>595.667592478914</v>
      </c>
      <c r="F359" s="75">
        <v>-118.73302535336089</v>
      </c>
      <c r="G359" s="75">
        <v>4658.550348345846</v>
      </c>
      <c r="H359" s="56">
        <f t="shared" si="6"/>
        <v>0</v>
      </c>
    </row>
    <row r="360" spans="1:8">
      <c r="A360" s="236">
        <v>53905</v>
      </c>
      <c r="B360" s="75">
        <v>4521.9586067619612</v>
      </c>
      <c r="C360" s="237">
        <v>53906.708333333336</v>
      </c>
      <c r="D360" s="75">
        <v>0</v>
      </c>
      <c r="E360" s="75">
        <v>589.41480316481284</v>
      </c>
      <c r="F360" s="75">
        <v>-101.86910865666096</v>
      </c>
      <c r="G360" s="75">
        <v>4521.9586067619612</v>
      </c>
      <c r="H360" s="56" t="str">
        <f t="shared" si="6"/>
        <v/>
      </c>
    </row>
    <row r="361" spans="1:8">
      <c r="A361" s="236">
        <v>53936</v>
      </c>
      <c r="B361" s="75">
        <v>4157.3882590405246</v>
      </c>
      <c r="C361" s="237">
        <v>53937.75</v>
      </c>
      <c r="D361" s="75">
        <v>0</v>
      </c>
      <c r="E361" s="75">
        <v>585.02479928204627</v>
      </c>
      <c r="F361" s="75">
        <v>-29.663971269654041</v>
      </c>
      <c r="G361" s="75">
        <v>4157.3882590405246</v>
      </c>
      <c r="H361" s="56" t="str">
        <f t="shared" si="6"/>
        <v/>
      </c>
    </row>
    <row r="362" spans="1:8">
      <c r="A362" s="236">
        <v>53966</v>
      </c>
      <c r="B362" s="75">
        <v>3425.346700153877</v>
      </c>
      <c r="C362" s="237">
        <v>53968.791666666664</v>
      </c>
      <c r="D362" s="75">
        <v>0</v>
      </c>
      <c r="E362" s="75">
        <v>841.90443574722303</v>
      </c>
      <c r="F362" s="75">
        <v>0</v>
      </c>
      <c r="G362" s="75">
        <v>3425.346700153877</v>
      </c>
      <c r="H362" s="56" t="str">
        <f t="shared" si="6"/>
        <v/>
      </c>
    </row>
    <row r="363" spans="1:8">
      <c r="A363" s="236">
        <v>53997</v>
      </c>
      <c r="B363" s="75">
        <v>3891.6585750168724</v>
      </c>
      <c r="C363" s="237">
        <v>54023.791666666664</v>
      </c>
      <c r="D363" s="75">
        <v>0</v>
      </c>
      <c r="E363" s="75">
        <v>998.00212593233232</v>
      </c>
      <c r="F363" s="75">
        <v>0</v>
      </c>
      <c r="G363" s="75">
        <v>3891.6585750168724</v>
      </c>
      <c r="H363" s="56" t="str">
        <f t="shared" si="6"/>
        <v/>
      </c>
    </row>
    <row r="364" spans="1:8">
      <c r="A364" s="236">
        <v>54027</v>
      </c>
      <c r="B364" s="75">
        <v>4110.8731720768546</v>
      </c>
      <c r="C364" s="237">
        <v>54045.791666666664</v>
      </c>
      <c r="D364" s="75">
        <v>0</v>
      </c>
      <c r="E364" s="75">
        <v>998.00212593233289</v>
      </c>
      <c r="F364" s="75">
        <v>0</v>
      </c>
      <c r="G364" s="75">
        <v>4110.8731720768546</v>
      </c>
      <c r="H364" s="56" t="str">
        <f t="shared" si="6"/>
        <v/>
      </c>
    </row>
    <row r="365" spans="1:8">
      <c r="A365" s="236">
        <v>54058</v>
      </c>
      <c r="B365" s="75">
        <v>4313.7155097045024</v>
      </c>
      <c r="C365" s="237">
        <v>54078.791666666664</v>
      </c>
      <c r="D365" s="75">
        <v>0</v>
      </c>
      <c r="E365" s="75">
        <v>955.32284718052335</v>
      </c>
      <c r="F365" s="75">
        <v>0</v>
      </c>
      <c r="G365" s="75">
        <v>4313.7155097045015</v>
      </c>
      <c r="H365" s="56" t="str">
        <f t="shared" si="6"/>
        <v/>
      </c>
    </row>
    <row r="366" spans="1:8">
      <c r="A366" s="236">
        <v>54089</v>
      </c>
      <c r="B366" s="75">
        <v>4097.5965104460865</v>
      </c>
      <c r="C366" s="237">
        <v>54093.791666666664</v>
      </c>
      <c r="D366" s="75">
        <v>0</v>
      </c>
      <c r="E366" s="75">
        <v>936.00223669460672</v>
      </c>
      <c r="F366" s="75">
        <v>0</v>
      </c>
      <c r="G366" s="75">
        <v>4097.5965104460865</v>
      </c>
      <c r="H366" s="56" t="str">
        <f t="shared" si="6"/>
        <v/>
      </c>
    </row>
    <row r="367" spans="1:8">
      <c r="A367" s="236">
        <v>54118</v>
      </c>
      <c r="B367" s="75">
        <v>3754.0984285951499</v>
      </c>
      <c r="C367" s="237">
        <v>54120.791666666664</v>
      </c>
      <c r="D367" s="75">
        <v>0</v>
      </c>
      <c r="E367" s="75">
        <v>941.66620614429314</v>
      </c>
      <c r="F367" s="75">
        <v>-2.6370433189492841</v>
      </c>
      <c r="G367" s="75">
        <v>3754.0984285951499</v>
      </c>
      <c r="H367" s="56" t="str">
        <f t="shared" si="6"/>
        <v/>
      </c>
    </row>
    <row r="368" spans="1:8">
      <c r="A368" s="236">
        <v>54149</v>
      </c>
      <c r="B368" s="75">
        <v>3394.740527300381</v>
      </c>
      <c r="C368" s="237">
        <v>54149.833333333336</v>
      </c>
      <c r="D368" s="75">
        <v>0</v>
      </c>
      <c r="E368" s="75">
        <v>836.10200320209822</v>
      </c>
      <c r="F368" s="75">
        <v>-0.25441849090674062</v>
      </c>
      <c r="G368" s="75">
        <v>3394.740527300381</v>
      </c>
      <c r="H368" s="56" t="str">
        <f t="shared" si="6"/>
        <v/>
      </c>
    </row>
    <row r="369" spans="1:8">
      <c r="A369" s="236">
        <v>54179</v>
      </c>
      <c r="B369" s="75">
        <v>3878.816115464515</v>
      </c>
      <c r="C369" s="237">
        <v>54208.75</v>
      </c>
      <c r="D369" s="75">
        <v>0</v>
      </c>
      <c r="E369" s="75">
        <v>636.24894091959936</v>
      </c>
      <c r="F369" s="75">
        <v>-56.544518939818026</v>
      </c>
      <c r="G369" s="75">
        <v>3878.816115464515</v>
      </c>
      <c r="H369" s="56" t="str">
        <f t="shared" si="6"/>
        <v/>
      </c>
    </row>
    <row r="370" spans="1:8">
      <c r="A370" s="236">
        <v>54210</v>
      </c>
      <c r="B370" s="75">
        <v>4395.6164155631031</v>
      </c>
      <c r="C370" s="237">
        <v>54234.833333333336</v>
      </c>
      <c r="D370" s="75">
        <v>0</v>
      </c>
      <c r="E370" s="75">
        <v>830.10069839613925</v>
      </c>
      <c r="F370" s="75">
        <v>-6.5007718090308213</v>
      </c>
      <c r="G370" s="75">
        <v>4395.6164155631022</v>
      </c>
      <c r="H370" s="56" t="str">
        <f t="shared" si="6"/>
        <v/>
      </c>
    </row>
    <row r="371" spans="1:8">
      <c r="A371" s="236">
        <v>54240</v>
      </c>
      <c r="B371" s="75">
        <v>4765.3244732804415</v>
      </c>
      <c r="C371" s="237">
        <v>54260.75</v>
      </c>
      <c r="D371" s="75">
        <v>0</v>
      </c>
      <c r="E371" s="75">
        <v>648.46918624524506</v>
      </c>
      <c r="F371" s="75">
        <v>-72.607824466367063</v>
      </c>
      <c r="G371" s="75">
        <v>4765.3244732804415</v>
      </c>
      <c r="H371" s="56">
        <f t="shared" si="6"/>
        <v>0</v>
      </c>
    </row>
    <row r="372" spans="1:8">
      <c r="A372" s="236">
        <v>54271</v>
      </c>
      <c r="B372" s="75">
        <v>4642.7925353258888</v>
      </c>
      <c r="C372" s="237">
        <v>54274.833333333336</v>
      </c>
      <c r="D372" s="75">
        <v>0</v>
      </c>
      <c r="E372" s="75">
        <v>810.82724231486236</v>
      </c>
      <c r="F372" s="75">
        <v>-2.2048609107003063</v>
      </c>
      <c r="G372" s="75">
        <v>4642.792535325887</v>
      </c>
      <c r="H372" s="56" t="str">
        <f t="shared" si="6"/>
        <v/>
      </c>
    </row>
    <row r="373" spans="1:8">
      <c r="A373" s="236">
        <v>54302</v>
      </c>
      <c r="B373" s="75">
        <v>4189.617806446473</v>
      </c>
      <c r="C373" s="237">
        <v>54303.833333333336</v>
      </c>
      <c r="D373" s="75">
        <v>0</v>
      </c>
      <c r="E373" s="75">
        <v>785.61414487984837</v>
      </c>
      <c r="F373" s="75">
        <v>0</v>
      </c>
      <c r="G373" s="75">
        <v>4189.6178064464739</v>
      </c>
      <c r="H373" s="56" t="str">
        <f t="shared" si="6"/>
        <v/>
      </c>
    </row>
    <row r="374" spans="1:8">
      <c r="A374" s="236">
        <v>54332</v>
      </c>
      <c r="B374" s="75">
        <v>3483.2116184681036</v>
      </c>
      <c r="C374" s="237">
        <v>54337.791666666664</v>
      </c>
      <c r="D374" s="75">
        <v>0</v>
      </c>
      <c r="E374" s="75">
        <v>900.83774624952855</v>
      </c>
      <c r="F374" s="75">
        <v>0</v>
      </c>
      <c r="G374" s="75">
        <v>3483.2116184681036</v>
      </c>
      <c r="H374" s="56" t="str">
        <f t="shared" si="6"/>
        <v/>
      </c>
    </row>
    <row r="375" spans="1:8">
      <c r="A375" s="236">
        <v>54363</v>
      </c>
      <c r="B375" s="75">
        <v>3845.3434633226789</v>
      </c>
      <c r="C375" s="237">
        <v>54385.791666666664</v>
      </c>
      <c r="D375" s="75">
        <v>0</v>
      </c>
      <c r="E375" s="75">
        <v>959.06799508753556</v>
      </c>
      <c r="F375" s="75">
        <v>0</v>
      </c>
      <c r="G375" s="75">
        <v>3845.3434633226789</v>
      </c>
      <c r="H375" s="56" t="str">
        <f t="shared" si="6"/>
        <v/>
      </c>
    </row>
    <row r="376" spans="1:8">
      <c r="A376" s="236">
        <v>54393</v>
      </c>
      <c r="B376" s="75">
        <v>4187.2086521455549</v>
      </c>
      <c r="C376" s="237">
        <v>54400.791666666664</v>
      </c>
      <c r="D376" s="75">
        <v>0</v>
      </c>
      <c r="E376" s="75">
        <v>1067.8622747475947</v>
      </c>
      <c r="F376" s="75">
        <v>0</v>
      </c>
      <c r="G376" s="75">
        <v>4187.2086521455549</v>
      </c>
      <c r="H376" s="56" t="str">
        <f t="shared" si="6"/>
        <v/>
      </c>
    </row>
    <row r="377" spans="1:8">
      <c r="A377" s="236">
        <v>54424</v>
      </c>
      <c r="B377" s="75">
        <v>4336.4177555477663</v>
      </c>
      <c r="C377" s="237">
        <v>54444.791666666664</v>
      </c>
      <c r="D377" s="75">
        <v>0</v>
      </c>
      <c r="E377" s="75">
        <v>1022.195446483161</v>
      </c>
      <c r="F377" s="75">
        <v>0</v>
      </c>
      <c r="G377" s="75">
        <v>4336.4177555477654</v>
      </c>
      <c r="H377" s="56" t="str">
        <f t="shared" si="6"/>
        <v/>
      </c>
    </row>
    <row r="378" spans="1:8">
      <c r="A378" s="236">
        <v>54455</v>
      </c>
      <c r="B378" s="75">
        <v>4068.1321500492354</v>
      </c>
      <c r="C378" s="237">
        <v>54459.791666666664</v>
      </c>
      <c r="D378" s="75">
        <v>0</v>
      </c>
      <c r="E378" s="75">
        <v>1001.5223932632294</v>
      </c>
      <c r="F378" s="75">
        <v>0</v>
      </c>
      <c r="G378" s="75">
        <v>4068.1321500492354</v>
      </c>
      <c r="H378" s="56" t="str">
        <f t="shared" si="6"/>
        <v/>
      </c>
    </row>
    <row r="379" spans="1:8">
      <c r="A379" s="236">
        <v>54483</v>
      </c>
      <c r="B379" s="75">
        <v>3812.7843517526526</v>
      </c>
      <c r="C379" s="237">
        <v>54485.791666666664</v>
      </c>
      <c r="D379" s="75">
        <v>0</v>
      </c>
      <c r="E379" s="75">
        <v>1007.5828405743953</v>
      </c>
      <c r="F379" s="75">
        <v>-2.7583179898444552</v>
      </c>
      <c r="G379" s="75">
        <v>3812.784351752653</v>
      </c>
      <c r="H379" s="56" t="str">
        <f t="shared" si="6"/>
        <v/>
      </c>
    </row>
    <row r="380" spans="1:8">
      <c r="A380" s="236">
        <v>54514</v>
      </c>
      <c r="B380" s="75">
        <v>3517.8515511748651</v>
      </c>
      <c r="C380" s="237">
        <v>54514.833333333336</v>
      </c>
      <c r="D380" s="75">
        <v>0</v>
      </c>
      <c r="E380" s="75">
        <v>894.62914342624561</v>
      </c>
      <c r="F380" s="75">
        <v>-0.26607909445004219</v>
      </c>
      <c r="G380" s="75">
        <v>3517.8515511748647</v>
      </c>
      <c r="H380" s="56" t="str">
        <f t="shared" si="6"/>
        <v/>
      </c>
    </row>
    <row r="381" spans="1:8">
      <c r="A381" s="236">
        <v>54544</v>
      </c>
      <c r="B381" s="75">
        <v>3971.9405156309276</v>
      </c>
      <c r="C381" s="237">
        <v>54573.833333333336</v>
      </c>
      <c r="D381" s="75">
        <v>0</v>
      </c>
      <c r="E381" s="75">
        <v>854.10584507474312</v>
      </c>
      <c r="F381" s="75">
        <v>-0.97996725687297337</v>
      </c>
      <c r="G381" s="75">
        <v>3971.9405156309267</v>
      </c>
      <c r="H381" s="56" t="str">
        <f t="shared" si="6"/>
        <v/>
      </c>
    </row>
    <row r="382" spans="1:8">
      <c r="A382" s="236">
        <v>54575</v>
      </c>
      <c r="B382" s="75">
        <v>4461.6643398370261</v>
      </c>
      <c r="C382" s="237">
        <v>54595.833333333336</v>
      </c>
      <c r="D382" s="75">
        <v>0</v>
      </c>
      <c r="E382" s="75">
        <v>854.10584507474164</v>
      </c>
      <c r="F382" s="75">
        <v>-6.7971619349504664</v>
      </c>
      <c r="G382" s="75">
        <v>4461.6643398370261</v>
      </c>
      <c r="H382" s="56" t="str">
        <f t="shared" si="6"/>
        <v/>
      </c>
    </row>
    <row r="383" spans="1:8">
      <c r="A383" s="236">
        <v>54605</v>
      </c>
      <c r="B383" s="75">
        <v>4833.3585683209685</v>
      </c>
      <c r="C383" s="237">
        <v>54623.833333333336</v>
      </c>
      <c r="D383" s="75">
        <v>0</v>
      </c>
      <c r="E383" s="75">
        <v>888.20774728387016</v>
      </c>
      <c r="F383" s="75">
        <v>-3.9285332090786027</v>
      </c>
      <c r="G383" s="75">
        <v>4833.3585683209685</v>
      </c>
      <c r="H383" s="56">
        <f t="shared" si="6"/>
        <v>0</v>
      </c>
    </row>
    <row r="384" spans="1:8">
      <c r="A384" s="236">
        <v>54636</v>
      </c>
      <c r="B384" s="75">
        <v>4707.0284305716277</v>
      </c>
      <c r="C384" s="237">
        <v>54639.833333333336</v>
      </c>
      <c r="D384" s="75">
        <v>0</v>
      </c>
      <c r="E384" s="75">
        <v>867.58514927690339</v>
      </c>
      <c r="F384" s="75">
        <v>-2.3048644675444363</v>
      </c>
      <c r="G384" s="75">
        <v>4707.0284305716286</v>
      </c>
      <c r="H384" s="56" t="str">
        <f t="shared" si="6"/>
        <v/>
      </c>
    </row>
    <row r="385" spans="1:8">
      <c r="A385" s="236">
        <v>54667</v>
      </c>
      <c r="B385" s="75">
        <v>4253.3410084892457</v>
      </c>
      <c r="C385" s="237">
        <v>54668.833333333336</v>
      </c>
      <c r="D385" s="75">
        <v>0</v>
      </c>
      <c r="E385" s="75">
        <v>840.60713502143915</v>
      </c>
      <c r="F385" s="75">
        <v>0</v>
      </c>
      <c r="G385" s="75">
        <v>4253.3410084892448</v>
      </c>
      <c r="H385" s="56" t="str">
        <f t="shared" si="6"/>
        <v/>
      </c>
    </row>
    <row r="386" spans="1:8">
      <c r="A386" s="236">
        <v>54697</v>
      </c>
      <c r="B386" s="75">
        <v>3585.4011888897662</v>
      </c>
      <c r="C386" s="237">
        <v>54700.791666666664</v>
      </c>
      <c r="D386" s="75">
        <v>0</v>
      </c>
      <c r="E386" s="75">
        <v>963.89638848699667</v>
      </c>
      <c r="F386" s="75">
        <v>0</v>
      </c>
      <c r="G386" s="75">
        <v>3585.4011888897662</v>
      </c>
      <c r="H386" s="56" t="str">
        <f t="shared" si="6"/>
        <v/>
      </c>
    </row>
    <row r="387" spans="1:8">
      <c r="A387" s="236">
        <v>54728</v>
      </c>
      <c r="B387" s="75">
        <v>4027.2867331937564</v>
      </c>
      <c r="C387" s="237">
        <v>54756.791666666664</v>
      </c>
      <c r="D387" s="75">
        <v>0</v>
      </c>
      <c r="E387" s="75">
        <v>1142.6126339799268</v>
      </c>
      <c r="F387" s="75">
        <v>0</v>
      </c>
      <c r="G387" s="75">
        <v>4027.2867331937564</v>
      </c>
      <c r="H387" s="56" t="str">
        <f t="shared" ref="H387:H400" si="7">IF(MONTH(A387)=7,B387-G387,"")</f>
        <v/>
      </c>
    </row>
    <row r="388" spans="1:8">
      <c r="A388" s="236">
        <v>54758</v>
      </c>
      <c r="B388" s="75">
        <v>4284.300910616822</v>
      </c>
      <c r="C388" s="237">
        <v>54777.791666666664</v>
      </c>
      <c r="D388" s="75">
        <v>0</v>
      </c>
      <c r="E388" s="75">
        <v>1142.6126339799284</v>
      </c>
      <c r="F388" s="75">
        <v>0</v>
      </c>
      <c r="G388" s="75">
        <v>4284.3009106168229</v>
      </c>
      <c r="H388" s="56" t="str">
        <f t="shared" si="7"/>
        <v/>
      </c>
    </row>
    <row r="389" spans="1:8">
      <c r="A389" s="236">
        <v>54789</v>
      </c>
      <c r="B389" s="75">
        <v>4407.3701544195355</v>
      </c>
      <c r="C389" s="237">
        <v>54806.791666666664</v>
      </c>
      <c r="D389" s="75">
        <v>0</v>
      </c>
      <c r="E389" s="75">
        <v>1093.7491277369793</v>
      </c>
      <c r="F389" s="75">
        <v>0</v>
      </c>
      <c r="G389" s="75">
        <v>4407.3701544195355</v>
      </c>
      <c r="H389" s="56" t="str">
        <f t="shared" si="7"/>
        <v/>
      </c>
    </row>
    <row r="390" spans="1:8">
      <c r="A390" s="236">
        <v>54820</v>
      </c>
      <c r="B390" s="75">
        <v>4221.5808230968305</v>
      </c>
      <c r="C390" s="237">
        <v>54827.791666666664</v>
      </c>
      <c r="D390" s="75">
        <v>0</v>
      </c>
      <c r="E390" s="75">
        <v>1071.6289607916549</v>
      </c>
      <c r="F390" s="75">
        <v>0</v>
      </c>
      <c r="G390" s="75">
        <v>4221.5808230968305</v>
      </c>
      <c r="H390" s="56" t="str">
        <f t="shared" si="7"/>
        <v/>
      </c>
    </row>
    <row r="391" spans="1:8">
      <c r="A391" s="236">
        <v>54848</v>
      </c>
      <c r="B391" s="75">
        <v>3906.87241147534</v>
      </c>
      <c r="C391" s="237">
        <v>54850.791666666664</v>
      </c>
      <c r="D391" s="75">
        <v>0</v>
      </c>
      <c r="E391" s="75">
        <v>1078.1136394146029</v>
      </c>
      <c r="F391" s="75">
        <v>-2.8816409294096714</v>
      </c>
      <c r="G391" s="75">
        <v>3906.87241147534</v>
      </c>
      <c r="H391" s="56" t="str">
        <f t="shared" si="7"/>
        <v/>
      </c>
    </row>
    <row r="392" spans="1:8">
      <c r="A392" s="236">
        <v>54879</v>
      </c>
      <c r="B392" s="75">
        <v>3517.7964502362302</v>
      </c>
      <c r="C392" s="237">
        <v>54883.833333333336</v>
      </c>
      <c r="D392" s="75">
        <v>0</v>
      </c>
      <c r="E392" s="75">
        <v>957.25318346608219</v>
      </c>
      <c r="F392" s="75">
        <v>-0.277940588844309</v>
      </c>
      <c r="G392" s="75">
        <v>3517.7964502362302</v>
      </c>
      <c r="H392" s="56" t="str">
        <f t="shared" si="7"/>
        <v/>
      </c>
    </row>
    <row r="393" spans="1:8">
      <c r="A393" s="236">
        <v>54909</v>
      </c>
      <c r="B393" s="75">
        <v>4031.0397710460466</v>
      </c>
      <c r="C393" s="237">
        <v>54939.833333333336</v>
      </c>
      <c r="D393" s="75">
        <v>0</v>
      </c>
      <c r="E393" s="75">
        <v>913.89325422997263</v>
      </c>
      <c r="F393" s="75">
        <v>-1.0235732232745067</v>
      </c>
      <c r="G393" s="75">
        <v>4031.0397710460466</v>
      </c>
      <c r="H393" s="56" t="str">
        <f t="shared" si="7"/>
        <v/>
      </c>
    </row>
    <row r="394" spans="1:8">
      <c r="A394" s="236">
        <v>54940</v>
      </c>
      <c r="B394" s="75">
        <v>4575.2993593202355</v>
      </c>
      <c r="C394" s="237">
        <v>54960.833333333336</v>
      </c>
      <c r="D394" s="75">
        <v>0</v>
      </c>
      <c r="E394" s="75">
        <v>950.38228959373794</v>
      </c>
      <c r="F394" s="75">
        <v>-7.0993088427881759</v>
      </c>
      <c r="G394" s="75">
        <v>4575.2993593202364</v>
      </c>
      <c r="H394" s="56" t="str">
        <f t="shared" si="7"/>
        <v/>
      </c>
    </row>
    <row r="395" spans="1:8">
      <c r="A395" s="236">
        <v>54970</v>
      </c>
      <c r="B395" s="75">
        <v>4919.9559941608331</v>
      </c>
      <c r="C395" s="237">
        <v>54988.833333333336</v>
      </c>
      <c r="D395" s="75">
        <v>0</v>
      </c>
      <c r="E395" s="75">
        <v>950.38228959373896</v>
      </c>
      <c r="F395" s="75">
        <v>-4.102824786513291</v>
      </c>
      <c r="G395" s="75">
        <v>4919.9559941608331</v>
      </c>
      <c r="H395" s="56">
        <f t="shared" si="7"/>
        <v>0</v>
      </c>
    </row>
    <row r="396" spans="1:8">
      <c r="A396" s="236">
        <v>55001</v>
      </c>
      <c r="B396" s="75">
        <v>4782.4188922527665</v>
      </c>
      <c r="C396" s="237">
        <v>55004.833333333336</v>
      </c>
      <c r="D396" s="75">
        <v>0</v>
      </c>
      <c r="E396" s="75">
        <v>928.31610972628698</v>
      </c>
      <c r="F396" s="75">
        <v>-2.4069576806662116</v>
      </c>
      <c r="G396" s="75">
        <v>4782.4188922527665</v>
      </c>
      <c r="H396" s="56" t="str">
        <f t="shared" si="7"/>
        <v/>
      </c>
    </row>
    <row r="397" spans="1:8">
      <c r="A397" s="236">
        <v>55032</v>
      </c>
      <c r="B397" s="75">
        <v>4297.0251515816472</v>
      </c>
      <c r="C397" s="237">
        <v>55032.833333333336</v>
      </c>
      <c r="D397" s="75">
        <v>0</v>
      </c>
      <c r="E397" s="75">
        <v>899.44963447293969</v>
      </c>
      <c r="F397" s="75">
        <v>0</v>
      </c>
      <c r="G397" s="75">
        <v>4297.0251515816472</v>
      </c>
      <c r="H397" s="56" t="str">
        <f t="shared" si="7"/>
        <v/>
      </c>
    </row>
    <row r="398" spans="1:8">
      <c r="A398" s="236">
        <v>55062</v>
      </c>
      <c r="B398" s="75">
        <v>3646.4099214569865</v>
      </c>
      <c r="C398" s="237">
        <v>55064.791666666664</v>
      </c>
      <c r="D398" s="75">
        <v>0</v>
      </c>
      <c r="E398" s="75">
        <v>1031.369135681083</v>
      </c>
      <c r="F398" s="75">
        <v>0</v>
      </c>
      <c r="G398" s="75">
        <v>3646.4099214569865</v>
      </c>
      <c r="H398" s="56" t="str">
        <f t="shared" si="7"/>
        <v/>
      </c>
    </row>
    <row r="399" spans="1:8">
      <c r="A399" s="236">
        <v>55093</v>
      </c>
      <c r="B399" s="75">
        <v>4176.7469184980855</v>
      </c>
      <c r="C399" s="237">
        <v>55120.791666666664</v>
      </c>
      <c r="D399" s="75">
        <v>0</v>
      </c>
      <c r="E399" s="75">
        <v>1222.5955183585224</v>
      </c>
      <c r="F399" s="75">
        <v>0</v>
      </c>
      <c r="G399" s="75">
        <v>4176.7469184980846</v>
      </c>
      <c r="H399" s="56" t="str">
        <f t="shared" si="7"/>
        <v/>
      </c>
    </row>
    <row r="400" spans="1:8">
      <c r="A400" s="236">
        <v>55123</v>
      </c>
      <c r="B400" s="75">
        <v>4380.0785713668211</v>
      </c>
      <c r="C400" s="237">
        <v>55141.791666666664</v>
      </c>
      <c r="D400" s="75">
        <v>0</v>
      </c>
      <c r="E400" s="75">
        <v>1222.5955183585222</v>
      </c>
      <c r="F400" s="75">
        <v>0</v>
      </c>
      <c r="G400" s="75">
        <v>4380.0785713668211</v>
      </c>
      <c r="H400" s="56" t="str">
        <f t="shared" si="7"/>
        <v/>
      </c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</sheetData>
  <pageMargins left="0.7" right="0.7" top="1.0625" bottom="0.75" header="0.3" footer="0.3"/>
  <pageSetup fitToHeight="0" orientation="landscape" r:id="rId1"/>
  <headerFooter>
    <oddHeader xml:space="preserve">&amp;R&amp;"Times New Roman,Bold"PUCO Case No. 24-503-EL-FOR
Source Files
Work Tables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Q409"/>
  <sheetViews>
    <sheetView view="pageLayout" zoomScaleNormal="90" workbookViewId="0">
      <selection activeCell="J10" sqref="J10"/>
    </sheetView>
  </sheetViews>
  <sheetFormatPr defaultRowHeight="12.75"/>
  <cols>
    <col min="1" max="1" width="11.5703125" bestFit="1" customWidth="1"/>
    <col min="2" max="7" width="10.5703125" customWidth="1"/>
    <col min="8" max="8" width="10.42578125" bestFit="1" customWidth="1"/>
    <col min="9" max="9" width="9.7109375" bestFit="1" customWidth="1"/>
    <col min="10" max="10" width="10.42578125" bestFit="1" customWidth="1"/>
    <col min="11" max="11" width="19" bestFit="1" customWidth="1"/>
    <col min="12" max="12" width="5.5703125" bestFit="1" customWidth="1"/>
    <col min="13" max="13" width="12.42578125" bestFit="1" customWidth="1"/>
    <col min="14" max="14" width="23.140625" style="3" bestFit="1" customWidth="1"/>
    <col min="15" max="15" width="28.140625" bestFit="1" customWidth="1"/>
    <col min="16" max="16" width="32.5703125" bestFit="1" customWidth="1"/>
    <col min="17" max="17" width="19.28515625" bestFit="1" customWidth="1"/>
    <col min="19" max="19" width="13.85546875" bestFit="1" customWidth="1"/>
    <col min="20" max="20" width="19.28515625" bestFit="1" customWidth="1"/>
    <col min="21" max="21" width="12.7109375" bestFit="1" customWidth="1"/>
    <col min="22" max="22" width="11.7109375" bestFit="1" customWidth="1"/>
    <col min="23" max="23" width="16.7109375" bestFit="1" customWidth="1"/>
    <col min="24" max="26" width="13.85546875" bestFit="1" customWidth="1"/>
    <col min="29" max="29" width="12" customWidth="1"/>
    <col min="30" max="30" width="12.140625" customWidth="1"/>
    <col min="38" max="38" width="12.85546875" bestFit="1" customWidth="1"/>
    <col min="41" max="41" width="11.7109375" customWidth="1"/>
  </cols>
  <sheetData>
    <row r="1" spans="1:43" ht="15">
      <c r="A1" s="249"/>
      <c r="B1" s="259" t="s">
        <v>157</v>
      </c>
      <c r="C1" s="260" t="s">
        <v>158</v>
      </c>
      <c r="D1" s="259" t="s">
        <v>159</v>
      </c>
      <c r="E1" s="260" t="s">
        <v>160</v>
      </c>
      <c r="F1" s="259" t="s">
        <v>162</v>
      </c>
      <c r="G1" s="260" t="s">
        <v>161</v>
      </c>
      <c r="H1" s="259" t="s">
        <v>163</v>
      </c>
      <c r="I1" s="260" t="s">
        <v>164</v>
      </c>
      <c r="J1" s="259" t="s">
        <v>155</v>
      </c>
      <c r="K1" s="259" t="s">
        <v>165</v>
      </c>
      <c r="L1" s="250" t="s">
        <v>24</v>
      </c>
      <c r="M1" s="250" t="s">
        <v>183</v>
      </c>
      <c r="N1" s="252" t="s">
        <v>175</v>
      </c>
      <c r="O1" s="250" t="s">
        <v>170</v>
      </c>
      <c r="P1" s="250" t="s">
        <v>171</v>
      </c>
      <c r="Q1" s="250" t="s">
        <v>174</v>
      </c>
      <c r="R1" s="249"/>
      <c r="S1" s="249"/>
      <c r="T1" s="249" t="s">
        <v>153</v>
      </c>
      <c r="U1" s="253" t="s">
        <v>184</v>
      </c>
      <c r="V1" s="249" t="s">
        <v>151</v>
      </c>
      <c r="W1" s="249" t="s">
        <v>152</v>
      </c>
      <c r="X1" s="249"/>
      <c r="Y1" s="249" t="s">
        <v>168</v>
      </c>
      <c r="Z1" s="254" t="s">
        <v>173</v>
      </c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O1" s="266" t="s">
        <v>186</v>
      </c>
    </row>
    <row r="2" spans="1:43" ht="15">
      <c r="A2" s="245">
        <v>42736</v>
      </c>
      <c r="B2" s="241">
        <v>756825.95870338834</v>
      </c>
      <c r="C2" s="241">
        <v>759823.3961370663</v>
      </c>
      <c r="D2" s="241">
        <v>532676.29773333692</v>
      </c>
      <c r="E2" s="241">
        <v>536093.30392780679</v>
      </c>
      <c r="F2" s="241">
        <v>418098.88432688464</v>
      </c>
      <c r="G2" s="241">
        <v>419522.63690791378</v>
      </c>
      <c r="H2" s="241">
        <v>112199.21484870263</v>
      </c>
      <c r="I2" s="241">
        <v>7788.7054422689898</v>
      </c>
      <c r="J2" s="241">
        <v>113053.46639732011</v>
      </c>
      <c r="K2" s="241">
        <v>1929111.1287732508</v>
      </c>
      <c r="L2" s="249">
        <f t="shared" ref="L2:L25" si="0">YEAR(A2)</f>
        <v>2017</v>
      </c>
      <c r="M2" s="294">
        <v>1069.03</v>
      </c>
      <c r="N2" s="241">
        <v>1938286.4396038842</v>
      </c>
      <c r="O2" s="277">
        <v>0</v>
      </c>
      <c r="P2" s="277">
        <v>0</v>
      </c>
      <c r="Q2" s="255"/>
      <c r="R2" s="246"/>
      <c r="S2" s="249">
        <v>2017</v>
      </c>
      <c r="T2" s="241">
        <v>20201718.529501162</v>
      </c>
      <c r="U2" s="256">
        <v>5.55497238860072E-2</v>
      </c>
      <c r="V2" s="238">
        <f ca="1">SUM(OFFSET($M$1,12*(S2-2017)+1,0,12,1))</f>
        <v>10505.953999999998</v>
      </c>
      <c r="W2" s="238">
        <f ca="1">T2*(1+U2)+V2</f>
        <v>21334424.369837787</v>
      </c>
      <c r="X2" s="249"/>
      <c r="Y2" s="257">
        <f>T2*(U2)</f>
        <v>1122199.8863366251</v>
      </c>
      <c r="Z2" s="257">
        <f ca="1">Y2+V2</f>
        <v>1132705.840336625</v>
      </c>
      <c r="AA2" s="249"/>
      <c r="AB2" s="250" t="s">
        <v>200</v>
      </c>
      <c r="AC2" s="250" t="s">
        <v>199</v>
      </c>
      <c r="AD2" s="250" t="s">
        <v>177</v>
      </c>
      <c r="AE2" s="249"/>
      <c r="AF2" s="249"/>
      <c r="AG2" s="249"/>
      <c r="AH2" s="249"/>
      <c r="AI2" s="249"/>
      <c r="AJ2" s="249" t="s">
        <v>156</v>
      </c>
      <c r="AK2" s="249"/>
      <c r="AL2" s="249"/>
      <c r="AN2" s="3"/>
      <c r="AO2" s="289" t="s">
        <v>187</v>
      </c>
      <c r="AP2" s="3" t="s">
        <v>188</v>
      </c>
    </row>
    <row r="3" spans="1:43" ht="15">
      <c r="A3" s="245">
        <v>42767</v>
      </c>
      <c r="B3" s="241">
        <v>649076.47817645106</v>
      </c>
      <c r="C3" s="241">
        <v>651801.15613773733</v>
      </c>
      <c r="D3" s="241">
        <v>479126.59896407014</v>
      </c>
      <c r="E3" s="241">
        <v>482283.15331559186</v>
      </c>
      <c r="F3" s="241">
        <v>420056.23336251942</v>
      </c>
      <c r="G3" s="241">
        <v>421371.46434232016</v>
      </c>
      <c r="H3" s="241">
        <v>101718.09662084309</v>
      </c>
      <c r="I3" s="241">
        <v>8062.7773136495207</v>
      </c>
      <c r="J3" s="241">
        <v>102507.23520872352</v>
      </c>
      <c r="K3" s="241">
        <v>1750143.8588749424</v>
      </c>
      <c r="L3" s="249">
        <f t="shared" si="0"/>
        <v>2017</v>
      </c>
      <c r="M3" s="294">
        <v>1154.1600000000001</v>
      </c>
      <c r="N3" s="241">
        <v>1758573.0587349564</v>
      </c>
      <c r="O3" s="277">
        <v>0</v>
      </c>
      <c r="P3" s="277">
        <v>0</v>
      </c>
      <c r="Q3" s="255"/>
      <c r="R3" s="246"/>
      <c r="S3" s="249">
        <v>2018</v>
      </c>
      <c r="T3" s="241">
        <v>20151123.982888304</v>
      </c>
      <c r="U3" s="253">
        <f>$U$2</f>
        <v>5.55497238860072E-2</v>
      </c>
      <c r="V3" s="238">
        <f t="shared" ref="V3:V12" ca="1" si="1">SUM(OFFSET($M$1,12*(S3-2017)+1,0,12,1))</f>
        <v>11498.735999999999</v>
      </c>
      <c r="W3" s="238">
        <f t="shared" ref="W3:W12" ca="1" si="2">T3*(1+U3)+V3</f>
        <v>21282012.092130449</v>
      </c>
      <c r="X3" s="249"/>
      <c r="Y3" s="257">
        <f>T3*(U3)</f>
        <v>1119389.3732421428</v>
      </c>
      <c r="Z3" s="257">
        <f t="shared" ref="Z3:Z14" ca="1" si="3">Y3+V3</f>
        <v>1130888.1092421429</v>
      </c>
      <c r="AA3" s="249"/>
      <c r="AB3" s="249">
        <v>2018</v>
      </c>
      <c r="AC3" s="279">
        <v>20687065.671</v>
      </c>
      <c r="AD3" s="279">
        <v>20054019.229093906</v>
      </c>
      <c r="AE3" s="249"/>
      <c r="AF3" s="249"/>
      <c r="AG3" s="249"/>
      <c r="AH3" s="249"/>
      <c r="AI3" s="249"/>
      <c r="AJ3" s="249">
        <v>2014</v>
      </c>
      <c r="AK3" s="249" t="s">
        <v>25</v>
      </c>
      <c r="AL3" s="258">
        <v>7383475.6793999998</v>
      </c>
      <c r="AN3" s="3">
        <v>2014</v>
      </c>
      <c r="AO3" s="288">
        <v>1304756</v>
      </c>
      <c r="AP3" s="288">
        <v>15768.269999999999</v>
      </c>
    </row>
    <row r="4" spans="1:43" ht="15">
      <c r="A4" s="245">
        <v>42795</v>
      </c>
      <c r="B4" s="241">
        <v>572570.68839432206</v>
      </c>
      <c r="C4" s="241">
        <v>575280.2738570607</v>
      </c>
      <c r="D4" s="241">
        <v>490755.50610878761</v>
      </c>
      <c r="E4" s="241">
        <v>494345.2926884499</v>
      </c>
      <c r="F4" s="241">
        <v>423293.75685040472</v>
      </c>
      <c r="G4" s="241">
        <v>424789.50125859736</v>
      </c>
      <c r="H4" s="241">
        <v>101621.20605376776</v>
      </c>
      <c r="I4" s="241">
        <v>8102.3847037754022</v>
      </c>
      <c r="J4" s="241">
        <v>102518.65269868333</v>
      </c>
      <c r="K4" s="241">
        <v>1685019.9851025378</v>
      </c>
      <c r="L4" s="249">
        <f t="shared" si="0"/>
        <v>2017</v>
      </c>
      <c r="M4" s="294">
        <v>923.19799999999998</v>
      </c>
      <c r="N4" s="241">
        <v>1694195.4176778642</v>
      </c>
      <c r="O4" s="277">
        <v>0</v>
      </c>
      <c r="P4" s="277">
        <v>0</v>
      </c>
      <c r="Q4" s="255"/>
      <c r="R4" s="246"/>
      <c r="S4" s="249">
        <v>2019</v>
      </c>
      <c r="T4" s="241">
        <f>AD4</f>
        <v>19791776.476207551</v>
      </c>
      <c r="U4" s="253">
        <f t="shared" ref="U4:U19" si="4">$U$2</f>
        <v>5.55497238860072E-2</v>
      </c>
      <c r="V4" s="238">
        <f t="shared" ca="1" si="1"/>
        <v>11500.750000000002</v>
      </c>
      <c r="W4" s="238">
        <f t="shared" ca="1" si="2"/>
        <v>20902704.944674451</v>
      </c>
      <c r="X4" s="249"/>
      <c r="Y4" s="257">
        <f t="shared" ref="Y4:Y14" si="5">T4*(U4)</f>
        <v>1099427.7184669019</v>
      </c>
      <c r="Z4" s="257">
        <f t="shared" ca="1" si="3"/>
        <v>1110928.4684669019</v>
      </c>
      <c r="AA4" s="249"/>
      <c r="AB4" s="249">
        <v>2019</v>
      </c>
      <c r="AC4" s="278">
        <v>20174172.883000005</v>
      </c>
      <c r="AD4" s="278">
        <v>19791776.476207551</v>
      </c>
      <c r="AE4" s="249"/>
      <c r="AF4" s="249"/>
      <c r="AG4" s="249"/>
      <c r="AH4" s="249"/>
      <c r="AI4" s="249"/>
      <c r="AJ4" s="249">
        <v>2014</v>
      </c>
      <c r="AK4" s="249" t="s">
        <v>26</v>
      </c>
      <c r="AL4" s="258">
        <v>6398778.9998199996</v>
      </c>
      <c r="AN4" s="3">
        <v>2015</v>
      </c>
      <c r="AO4" s="288">
        <v>1144955</v>
      </c>
      <c r="AP4" s="288">
        <v>11797.880000000001</v>
      </c>
    </row>
    <row r="5" spans="1:43" ht="15">
      <c r="A5" s="245">
        <v>42826</v>
      </c>
      <c r="B5" s="241">
        <v>460202.49139025481</v>
      </c>
      <c r="C5" s="241">
        <v>462412.36085113016</v>
      </c>
      <c r="D5" s="241">
        <v>487100.5382757943</v>
      </c>
      <c r="E5" s="241">
        <v>490701.68507398525</v>
      </c>
      <c r="F5" s="241">
        <v>413817.34398076625</v>
      </c>
      <c r="G5" s="241">
        <v>415317.82181334583</v>
      </c>
      <c r="H5" s="241">
        <v>102270.56997060229</v>
      </c>
      <c r="I5" s="241">
        <v>8064.2330834851909</v>
      </c>
      <c r="J5" s="241">
        <v>103170.85667015002</v>
      </c>
      <c r="K5" s="241">
        <v>1553194.1054772742</v>
      </c>
      <c r="L5" s="249">
        <f t="shared" si="0"/>
        <v>2017</v>
      </c>
      <c r="M5" s="294">
        <v>943.53300000000002</v>
      </c>
      <c r="N5" s="241">
        <v>1561862.0484240309</v>
      </c>
      <c r="O5" s="277">
        <v>0</v>
      </c>
      <c r="P5" s="277">
        <v>0</v>
      </c>
      <c r="Q5" s="255"/>
      <c r="R5" s="246"/>
      <c r="S5" s="249">
        <v>2020</v>
      </c>
      <c r="T5" s="241">
        <f>AD5</f>
        <v>19372330.518363096</v>
      </c>
      <c r="U5" s="253">
        <f t="shared" si="4"/>
        <v>5.55497238860072E-2</v>
      </c>
      <c r="V5" s="238">
        <f t="shared" ca="1" si="1"/>
        <v>10865.179999999998</v>
      </c>
      <c r="W5" s="238">
        <f t="shared" ca="1" si="2"/>
        <v>20459323.309686635</v>
      </c>
      <c r="X5" s="249"/>
      <c r="Y5" s="257">
        <f t="shared" si="5"/>
        <v>1076127.6113235408</v>
      </c>
      <c r="Z5" s="257">
        <f t="shared" ca="1" si="3"/>
        <v>1086992.7913235407</v>
      </c>
      <c r="AA5" s="249"/>
      <c r="AB5" s="249">
        <v>2020</v>
      </c>
      <c r="AC5" s="278">
        <v>19253981.76548763</v>
      </c>
      <c r="AD5" s="278">
        <v>19372330.518363096</v>
      </c>
      <c r="AE5" s="249"/>
      <c r="AF5" s="249"/>
      <c r="AG5" s="249"/>
      <c r="AH5" s="249"/>
      <c r="AI5" s="249"/>
      <c r="AJ5" s="249">
        <v>2014</v>
      </c>
      <c r="AK5" s="249" t="s">
        <v>27</v>
      </c>
      <c r="AL5" s="258">
        <v>5158801.80681</v>
      </c>
      <c r="AN5" s="3">
        <v>2016</v>
      </c>
      <c r="AO5" s="288">
        <v>1136377.0635000069</v>
      </c>
      <c r="AP5" s="288">
        <v>11498.735999999999</v>
      </c>
      <c r="AQ5" s="248"/>
    </row>
    <row r="6" spans="1:43" ht="15">
      <c r="A6" s="245">
        <v>42856</v>
      </c>
      <c r="B6" s="241">
        <v>482722.81453233882</v>
      </c>
      <c r="C6" s="241">
        <v>485370.97468838934</v>
      </c>
      <c r="D6" s="241">
        <v>522811.24537757382</v>
      </c>
      <c r="E6" s="241">
        <v>526641.25792529562</v>
      </c>
      <c r="F6" s="241">
        <v>436651.30571880424</v>
      </c>
      <c r="G6" s="241">
        <v>438247.14428035502</v>
      </c>
      <c r="H6" s="241">
        <v>105526.47753200268</v>
      </c>
      <c r="I6" s="241">
        <v>8066.5888285920328</v>
      </c>
      <c r="J6" s="241">
        <v>106483.98066893313</v>
      </c>
      <c r="K6" s="241">
        <v>1642201.4943141229</v>
      </c>
      <c r="L6" s="249">
        <f t="shared" si="0"/>
        <v>2017</v>
      </c>
      <c r="M6" s="294">
        <v>896.92600000000004</v>
      </c>
      <c r="N6" s="241">
        <v>1651734.7068476942</v>
      </c>
      <c r="O6" s="277">
        <v>0</v>
      </c>
      <c r="P6" s="277">
        <v>0</v>
      </c>
      <c r="Q6" s="255"/>
      <c r="R6" s="246"/>
      <c r="S6" s="249">
        <v>2021</v>
      </c>
      <c r="T6" s="241">
        <f>AD6</f>
        <v>19576582.606269803</v>
      </c>
      <c r="U6" s="253">
        <f t="shared" si="4"/>
        <v>5.55497238860072E-2</v>
      </c>
      <c r="V6" s="238">
        <f t="shared" ca="1" si="1"/>
        <v>10447.082999999999</v>
      </c>
      <c r="W6" s="238">
        <f t="shared" ca="1" si="2"/>
        <v>20674503.447679702</v>
      </c>
      <c r="X6" s="249"/>
      <c r="Y6" s="257">
        <f t="shared" si="5"/>
        <v>1087473.7584098987</v>
      </c>
      <c r="Z6" s="257">
        <f t="shared" ca="1" si="3"/>
        <v>1097920.8414098988</v>
      </c>
      <c r="AA6" s="249"/>
      <c r="AB6" s="249">
        <v>2021</v>
      </c>
      <c r="AC6" s="278">
        <v>19630461.400416136</v>
      </c>
      <c r="AD6" s="278">
        <v>19576582.606269803</v>
      </c>
      <c r="AE6" s="249"/>
      <c r="AF6" s="249"/>
      <c r="AG6" s="249"/>
      <c r="AH6" s="249"/>
      <c r="AI6" s="249"/>
      <c r="AJ6" s="249">
        <v>2014</v>
      </c>
      <c r="AK6" s="249" t="s">
        <v>154</v>
      </c>
      <c r="AL6" s="258">
        <v>1424194.3977399999</v>
      </c>
      <c r="AN6" s="3">
        <v>2017</v>
      </c>
      <c r="AO6" s="288">
        <v>1009714.8483000053</v>
      </c>
      <c r="AP6" s="288">
        <v>10505.953999999998</v>
      </c>
      <c r="AQ6" s="248">
        <f t="shared" ref="AQ6:AQ9" ca="1" si="6">V2-AP6</f>
        <v>0</v>
      </c>
    </row>
    <row r="7" spans="1:43" ht="15">
      <c r="A7" s="245">
        <v>42887</v>
      </c>
      <c r="B7" s="241">
        <v>619770.48713968182</v>
      </c>
      <c r="C7" s="241">
        <v>622844.47768333391</v>
      </c>
      <c r="D7" s="241">
        <v>564631.86309735919</v>
      </c>
      <c r="E7" s="241">
        <v>568455.51336777722</v>
      </c>
      <c r="F7" s="241">
        <v>446012.08364614955</v>
      </c>
      <c r="G7" s="241">
        <v>447605.27125882375</v>
      </c>
      <c r="H7" s="241">
        <v>113729.92707331691</v>
      </c>
      <c r="I7" s="241">
        <v>8016.8985064145281</v>
      </c>
      <c r="J7" s="241">
        <v>114685.83964092142</v>
      </c>
      <c r="K7" s="241">
        <v>1849493.3336298461</v>
      </c>
      <c r="L7" s="249">
        <f t="shared" si="0"/>
        <v>2017</v>
      </c>
      <c r="M7" s="294">
        <v>694.60599999999999</v>
      </c>
      <c r="N7" s="241">
        <v>1859464.8384780537</v>
      </c>
      <c r="O7" s="277">
        <v>0</v>
      </c>
      <c r="P7" s="277">
        <v>0</v>
      </c>
      <c r="Q7" s="255"/>
      <c r="R7" s="246"/>
      <c r="S7" s="249">
        <v>2022</v>
      </c>
      <c r="T7" s="241">
        <f>AD7</f>
        <v>19676073.294853874</v>
      </c>
      <c r="U7" s="253">
        <f t="shared" si="4"/>
        <v>5.55497238860072E-2</v>
      </c>
      <c r="V7" s="238">
        <f t="shared" ca="1" si="1"/>
        <v>9779.9070000000011</v>
      </c>
      <c r="W7" s="238">
        <f t="shared" ca="1" si="2"/>
        <v>20778853.640543848</v>
      </c>
      <c r="X7" s="249"/>
      <c r="Y7" s="257">
        <f t="shared" si="5"/>
        <v>1093000.4386899725</v>
      </c>
      <c r="Z7" s="257">
        <f t="shared" ca="1" si="3"/>
        <v>1102780.3456899724</v>
      </c>
      <c r="AA7" s="249"/>
      <c r="AB7" s="249">
        <v>2022</v>
      </c>
      <c r="AC7" s="278">
        <v>19802659.270091269</v>
      </c>
      <c r="AD7" s="278">
        <v>19676073.294853874</v>
      </c>
      <c r="AE7" s="249"/>
      <c r="AF7" s="249"/>
      <c r="AG7" s="249"/>
      <c r="AH7" s="249"/>
      <c r="AI7" s="249"/>
      <c r="AJ7" s="249">
        <v>2014</v>
      </c>
      <c r="AK7" s="249" t="s">
        <v>155</v>
      </c>
      <c r="AL7" s="258">
        <v>94869.582000000024</v>
      </c>
      <c r="AN7" s="3">
        <v>2018</v>
      </c>
      <c r="AO7" s="288">
        <v>1249341.8380000002</v>
      </c>
      <c r="AP7" s="288">
        <v>11498.735999999999</v>
      </c>
      <c r="AQ7" s="248">
        <f t="shared" ca="1" si="6"/>
        <v>0</v>
      </c>
    </row>
    <row r="8" spans="1:43" ht="15">
      <c r="A8" s="245">
        <v>42917</v>
      </c>
      <c r="B8" s="241">
        <v>743191.59580081503</v>
      </c>
      <c r="C8" s="241">
        <v>746690.0344527628</v>
      </c>
      <c r="D8" s="241">
        <v>622886.68281050131</v>
      </c>
      <c r="E8" s="241">
        <v>626891.0558987828</v>
      </c>
      <c r="F8" s="241">
        <v>457933.14267575071</v>
      </c>
      <c r="G8" s="241">
        <v>459601.63146253466</v>
      </c>
      <c r="H8" s="241">
        <v>119635.77322155246</v>
      </c>
      <c r="I8" s="241">
        <v>8019.8610053754846</v>
      </c>
      <c r="J8" s="241">
        <v>120636.86649362283</v>
      </c>
      <c r="K8" s="241">
        <v>2060081.6215652141</v>
      </c>
      <c r="L8" s="249">
        <f t="shared" si="0"/>
        <v>2017</v>
      </c>
      <c r="M8" s="294">
        <v>799.67499999999995</v>
      </c>
      <c r="N8" s="241">
        <v>2070819.0890310965</v>
      </c>
      <c r="O8" s="277">
        <v>0</v>
      </c>
      <c r="P8" s="277">
        <v>0</v>
      </c>
      <c r="Q8" s="255"/>
      <c r="R8" s="246"/>
      <c r="S8" s="249">
        <v>2023</v>
      </c>
      <c r="T8" s="241">
        <f>AD8</f>
        <v>19676073.294853874</v>
      </c>
      <c r="U8" s="253">
        <f t="shared" si="4"/>
        <v>5.55497238860072E-2</v>
      </c>
      <c r="V8" s="238">
        <f t="shared" ref="V8" ca="1" si="7">SUM(OFFSET($M$1,12*(S8-2017)+1,0,12,1))</f>
        <v>0</v>
      </c>
      <c r="W8" s="238">
        <f t="shared" ref="W8" ca="1" si="8">T8*(1+U8)+V8</f>
        <v>20769073.733543847</v>
      </c>
      <c r="X8" s="249"/>
      <c r="Y8" s="257">
        <f t="shared" si="5"/>
        <v>1093000.4386899725</v>
      </c>
      <c r="Z8" s="257">
        <f t="shared" ca="1" si="3"/>
        <v>1093000.4386899725</v>
      </c>
      <c r="AA8" s="249"/>
      <c r="AB8" s="249">
        <v>2022</v>
      </c>
      <c r="AC8" s="278">
        <v>19802659.270091269</v>
      </c>
      <c r="AD8" s="278">
        <v>19676073.294853874</v>
      </c>
      <c r="AI8" s="249"/>
      <c r="AJ8" s="249">
        <v>2015</v>
      </c>
      <c r="AK8" s="249" t="s">
        <v>25</v>
      </c>
      <c r="AL8" s="258">
        <v>7137834.5194667364</v>
      </c>
      <c r="AN8" s="290">
        <v>2019</v>
      </c>
      <c r="AO8" s="288">
        <v>1358826.7786000001</v>
      </c>
      <c r="AP8" s="288">
        <v>11500.750000000002</v>
      </c>
      <c r="AQ8" s="248">
        <f t="shared" ca="1" si="6"/>
        <v>0</v>
      </c>
    </row>
    <row r="9" spans="1:43" ht="15">
      <c r="A9" s="245">
        <v>42948</v>
      </c>
      <c r="B9" s="241">
        <v>701862.12284573598</v>
      </c>
      <c r="C9" s="241">
        <v>705242.92306164815</v>
      </c>
      <c r="D9" s="241">
        <v>609429.34226702549</v>
      </c>
      <c r="E9" s="241">
        <v>613507.04087849753</v>
      </c>
      <c r="F9" s="241">
        <v>454802.45287686418</v>
      </c>
      <c r="G9" s="241">
        <v>456501.4939649775</v>
      </c>
      <c r="H9" s="241">
        <v>117773.26150132205</v>
      </c>
      <c r="I9" s="241">
        <v>8010.2015358867829</v>
      </c>
      <c r="J9" s="241">
        <v>118792.68615419006</v>
      </c>
      <c r="K9" s="241">
        <v>1996970.6471690575</v>
      </c>
      <c r="L9" s="249">
        <f t="shared" si="0"/>
        <v>2017</v>
      </c>
      <c r="M9" s="294">
        <v>926.92</v>
      </c>
      <c r="N9" s="241">
        <v>2007712.9393091935</v>
      </c>
      <c r="O9" s="277">
        <v>0</v>
      </c>
      <c r="P9" s="277">
        <v>0</v>
      </c>
      <c r="Q9" s="255"/>
      <c r="R9" s="246"/>
      <c r="S9" s="249">
        <v>2024</v>
      </c>
      <c r="T9" s="277">
        <v>19922703.342654105</v>
      </c>
      <c r="U9" s="253">
        <f t="shared" si="4"/>
        <v>5.55497238860072E-2</v>
      </c>
      <c r="V9" s="238">
        <f t="shared" ca="1" si="1"/>
        <v>10449.126871787772</v>
      </c>
      <c r="W9" s="238">
        <f t="shared" ca="1" si="2"/>
        <v>21039853.139273159</v>
      </c>
      <c r="X9" s="249"/>
      <c r="Y9" s="257">
        <f t="shared" si="5"/>
        <v>1106700.6697472683</v>
      </c>
      <c r="Z9" s="257">
        <f t="shared" ca="1" si="3"/>
        <v>1117149.796619056</v>
      </c>
      <c r="AA9" s="249"/>
      <c r="AB9" s="249"/>
      <c r="AC9" s="270"/>
      <c r="AD9" s="270" t="s">
        <v>191</v>
      </c>
      <c r="AE9" s="270"/>
      <c r="AF9" s="271"/>
      <c r="AG9" s="271" t="s">
        <v>192</v>
      </c>
      <c r="AH9" s="271"/>
      <c r="AJ9" s="249">
        <v>2015</v>
      </c>
      <c r="AK9" s="249" t="s">
        <v>26</v>
      </c>
      <c r="AL9" s="258">
        <v>6369745.5025884295</v>
      </c>
      <c r="AN9" s="290">
        <v>2020</v>
      </c>
      <c r="AO9" s="288">
        <v>1111140.8543123733</v>
      </c>
      <c r="AP9" s="288">
        <v>10865.179999999998</v>
      </c>
      <c r="AQ9" s="248">
        <f t="shared" ca="1" si="6"/>
        <v>0</v>
      </c>
    </row>
    <row r="10" spans="1:43" ht="15">
      <c r="A10" s="245">
        <v>42979</v>
      </c>
      <c r="B10" s="241">
        <v>548707.86032505985</v>
      </c>
      <c r="C10" s="241">
        <v>551638.70222989563</v>
      </c>
      <c r="D10" s="241">
        <v>551722.39906605904</v>
      </c>
      <c r="E10" s="241">
        <v>555647.97716062982</v>
      </c>
      <c r="F10" s="241">
        <v>434928.14076181763</v>
      </c>
      <c r="G10" s="241">
        <v>436563.79830122215</v>
      </c>
      <c r="H10" s="241">
        <v>117707.391757322</v>
      </c>
      <c r="I10" s="241">
        <v>7997.1239765113896</v>
      </c>
      <c r="J10" s="241">
        <v>118688.7862809647</v>
      </c>
      <c r="K10" s="241">
        <v>1753334.5022215659</v>
      </c>
      <c r="L10" s="249">
        <f t="shared" si="0"/>
        <v>2017</v>
      </c>
      <c r="M10" s="294">
        <v>734.92899999999997</v>
      </c>
      <c r="N10" s="241">
        <v>1763334.2230413309</v>
      </c>
      <c r="O10" s="277">
        <v>0</v>
      </c>
      <c r="P10" s="277">
        <v>0</v>
      </c>
      <c r="Q10" s="255"/>
      <c r="R10" s="246"/>
      <c r="S10" s="249">
        <v>2025</v>
      </c>
      <c r="T10" s="277">
        <v>20182725.851063404</v>
      </c>
      <c r="U10" s="253">
        <f t="shared" si="4"/>
        <v>5.55497238860072E-2</v>
      </c>
      <c r="V10" s="238">
        <f t="shared" ca="1" si="1"/>
        <v>10581.046213369274</v>
      </c>
      <c r="W10" s="238">
        <f t="shared" ca="1" si="2"/>
        <v>21314451.745570324</v>
      </c>
      <c r="X10" s="249"/>
      <c r="Y10" s="257">
        <f t="shared" si="5"/>
        <v>1121144.8482935517</v>
      </c>
      <c r="Z10" s="257">
        <f t="shared" ca="1" si="3"/>
        <v>1131725.8945069211</v>
      </c>
      <c r="AA10" s="249"/>
      <c r="AB10" s="249"/>
      <c r="AC10" s="250" t="s">
        <v>189</v>
      </c>
      <c r="AD10" s="1" t="s">
        <v>177</v>
      </c>
      <c r="AE10" s="1" t="s">
        <v>193</v>
      </c>
      <c r="AF10" s="250" t="s">
        <v>190</v>
      </c>
      <c r="AG10" s="250" t="s">
        <v>177</v>
      </c>
      <c r="AH10" s="250" t="s">
        <v>193</v>
      </c>
      <c r="AI10" s="249"/>
      <c r="AJ10" s="249">
        <v>2015</v>
      </c>
      <c r="AK10" s="249" t="s">
        <v>27</v>
      </c>
      <c r="AL10" s="258">
        <v>5176003.8878630912</v>
      </c>
      <c r="AN10" s="290">
        <v>2021</v>
      </c>
      <c r="AO10" s="291">
        <v>1134572.802387625</v>
      </c>
      <c r="AP10" s="291">
        <v>10447.082999999999</v>
      </c>
      <c r="AQ10" s="248">
        <f ca="1">V6-AP10</f>
        <v>0</v>
      </c>
    </row>
    <row r="11" spans="1:43" ht="15">
      <c r="A11" s="245">
        <v>43009</v>
      </c>
      <c r="B11" s="241">
        <v>462016.80764505529</v>
      </c>
      <c r="C11" s="241">
        <v>464489.49287165341</v>
      </c>
      <c r="D11" s="241">
        <v>505825.40517658181</v>
      </c>
      <c r="E11" s="241">
        <v>509832.23719250993</v>
      </c>
      <c r="F11" s="241">
        <v>426213.24818286253</v>
      </c>
      <c r="G11" s="241">
        <v>427882.76152283256</v>
      </c>
      <c r="H11" s="241">
        <v>107875.53927874191</v>
      </c>
      <c r="I11" s="241">
        <v>8031.8681022820583</v>
      </c>
      <c r="J11" s="241">
        <v>108877.24728272394</v>
      </c>
      <c r="K11" s="241">
        <v>1593840.8888024627</v>
      </c>
      <c r="L11" s="249">
        <f t="shared" si="0"/>
        <v>2017</v>
      </c>
      <c r="M11" s="294">
        <v>896.779</v>
      </c>
      <c r="N11" s="241">
        <v>1603499.948390773</v>
      </c>
      <c r="O11" s="277">
        <v>0</v>
      </c>
      <c r="P11" s="277">
        <v>0</v>
      </c>
      <c r="Q11" s="255"/>
      <c r="R11" s="246"/>
      <c r="S11" s="249">
        <v>2026</v>
      </c>
      <c r="T11" s="277">
        <v>20231951.71517124</v>
      </c>
      <c r="U11" s="253">
        <f t="shared" si="4"/>
        <v>5.55497238860072E-2</v>
      </c>
      <c r="V11" s="238">
        <f t="shared" ca="1" si="1"/>
        <v>10582.232873602945</v>
      </c>
      <c r="W11" s="238">
        <f t="shared" ca="1" si="2"/>
        <v>21366413.279497635</v>
      </c>
      <c r="X11" s="249"/>
      <c r="Y11" s="257">
        <f t="shared" si="5"/>
        <v>1123879.3314527923</v>
      </c>
      <c r="Z11" s="257">
        <f t="shared" ca="1" si="3"/>
        <v>1134461.5643263953</v>
      </c>
      <c r="AA11" s="249"/>
      <c r="AB11" s="249">
        <v>2013</v>
      </c>
      <c r="AC11" s="263">
        <v>4145.0412282999996</v>
      </c>
      <c r="AD11" s="263">
        <v>4329.8499859231179</v>
      </c>
      <c r="AE11" s="263">
        <v>47</v>
      </c>
      <c r="AF11" s="272">
        <v>3975.3990429999999</v>
      </c>
      <c r="AG11" s="272">
        <v>3870.6006197010083</v>
      </c>
      <c r="AH11" s="272">
        <v>0</v>
      </c>
      <c r="AI11" s="249"/>
      <c r="AJ11" s="249">
        <v>2015</v>
      </c>
      <c r="AK11" s="249" t="s">
        <v>154</v>
      </c>
      <c r="AL11" s="258">
        <v>1371246.7472304793</v>
      </c>
      <c r="AN11" s="290">
        <v>2022</v>
      </c>
      <c r="AO11" s="291">
        <v>1034223.8053799979</v>
      </c>
      <c r="AP11" s="291">
        <v>9779.9070000000011</v>
      </c>
      <c r="AQ11" s="248">
        <f ca="1">V7-AP11</f>
        <v>0</v>
      </c>
    </row>
    <row r="12" spans="1:43" ht="15">
      <c r="A12" s="245">
        <v>43040</v>
      </c>
      <c r="B12" s="241">
        <v>525464.24902114295</v>
      </c>
      <c r="C12" s="241">
        <v>528327.54554091149</v>
      </c>
      <c r="D12" s="241">
        <v>497896.14643080422</v>
      </c>
      <c r="E12" s="241">
        <v>501843.00245138258</v>
      </c>
      <c r="F12" s="241">
        <v>420711.6535968103</v>
      </c>
      <c r="G12" s="241">
        <v>422356.17693871795</v>
      </c>
      <c r="H12" s="241">
        <v>102285.4286237582</v>
      </c>
      <c r="I12" s="241">
        <v>7973.7686635411483</v>
      </c>
      <c r="J12" s="241">
        <v>103272.14262890279</v>
      </c>
      <c r="K12" s="241">
        <v>1640673.9178974179</v>
      </c>
      <c r="L12" s="249">
        <f t="shared" si="0"/>
        <v>2017</v>
      </c>
      <c r="M12" s="294">
        <v>741.14</v>
      </c>
      <c r="N12" s="241">
        <v>1650639.7743861622</v>
      </c>
      <c r="O12" s="277">
        <v>0</v>
      </c>
      <c r="P12" s="277">
        <v>0</v>
      </c>
      <c r="Q12" s="255"/>
      <c r="R12" s="246"/>
      <c r="S12" s="249">
        <v>2027</v>
      </c>
      <c r="T12" s="277">
        <v>20266810.640259251</v>
      </c>
      <c r="U12" s="253">
        <f t="shared" si="4"/>
        <v>5.55497238860072E-2</v>
      </c>
      <c r="V12" s="238">
        <f t="shared" ca="1" si="1"/>
        <v>10582.244106935381</v>
      </c>
      <c r="W12" s="238">
        <f t="shared" ca="1" si="2"/>
        <v>21403208.619482584</v>
      </c>
      <c r="X12" s="249"/>
      <c r="Y12" s="257">
        <f t="shared" si="5"/>
        <v>1125815.7351163942</v>
      </c>
      <c r="Z12" s="257">
        <f t="shared" ca="1" si="3"/>
        <v>1136397.9792233296</v>
      </c>
      <c r="AA12" s="249"/>
      <c r="AB12" s="249">
        <v>2014</v>
      </c>
      <c r="AC12" s="263">
        <v>4104.1425330000002</v>
      </c>
      <c r="AD12" s="263">
        <v>4260.4906776537509</v>
      </c>
      <c r="AE12" s="263">
        <v>110.46204999999999</v>
      </c>
      <c r="AF12" s="272">
        <v>3701.5525979999998</v>
      </c>
      <c r="AG12" s="272">
        <v>3629.9556413591959</v>
      </c>
      <c r="AH12" s="272">
        <v>0</v>
      </c>
      <c r="AI12" s="249"/>
      <c r="AJ12" s="249">
        <v>2015</v>
      </c>
      <c r="AK12" s="249" t="s">
        <v>155</v>
      </c>
      <c r="AL12" s="258">
        <v>92768.59599999999</v>
      </c>
    </row>
    <row r="13" spans="1:43" ht="15">
      <c r="A13" s="245">
        <v>43070</v>
      </c>
      <c r="B13" s="241">
        <v>706459.65721536626</v>
      </c>
      <c r="C13" s="241">
        <v>710029.46786802309</v>
      </c>
      <c r="D13" s="241">
        <v>533697.03820361092</v>
      </c>
      <c r="E13" s="241">
        <v>537841.52153679542</v>
      </c>
      <c r="F13" s="241">
        <v>421501.90952516615</v>
      </c>
      <c r="G13" s="241">
        <v>423228.77758065972</v>
      </c>
      <c r="H13" s="241">
        <v>101743.2971919785</v>
      </c>
      <c r="I13" s="241">
        <v>8047.5044595550571</v>
      </c>
      <c r="J13" s="241">
        <v>102779.41802527464</v>
      </c>
      <c r="K13" s="241">
        <v>1869852.9320100984</v>
      </c>
      <c r="L13" s="249">
        <f t="shared" si="0"/>
        <v>2017</v>
      </c>
      <c r="M13" s="294">
        <v>725.05799999999999</v>
      </c>
      <c r="N13" s="241">
        <v>1880912.2250554909</v>
      </c>
      <c r="O13" s="277">
        <v>0</v>
      </c>
      <c r="P13" s="277">
        <v>0</v>
      </c>
      <c r="Q13" s="255"/>
      <c r="R13" s="246"/>
      <c r="S13" s="249">
        <v>2028</v>
      </c>
      <c r="T13" s="277">
        <v>20349971.130107157</v>
      </c>
      <c r="U13" s="253">
        <f t="shared" si="4"/>
        <v>5.55497238860072E-2</v>
      </c>
      <c r="V13" s="238">
        <f t="shared" ref="V13" ca="1" si="9">SUM(OFFSET($M$1,12*(S13-2017)+1,0,12,1))</f>
        <v>10582.244213598549</v>
      </c>
      <c r="W13" s="238">
        <f t="shared" ref="W13" ca="1" si="10">T13*(1+U13)+V13</f>
        <v>21490988.651686426</v>
      </c>
      <c r="X13" s="249"/>
      <c r="Y13" s="257">
        <f t="shared" si="5"/>
        <v>1130435.2773656705</v>
      </c>
      <c r="Z13" s="257">
        <f t="shared" ca="1" si="3"/>
        <v>1141017.5215792691</v>
      </c>
      <c r="AA13" s="249"/>
      <c r="AB13" s="249">
        <v>2015</v>
      </c>
      <c r="AC13" s="263">
        <v>4049.2380138999997</v>
      </c>
      <c r="AD13" s="263">
        <v>4325.7967452288403</v>
      </c>
      <c r="AE13" s="263">
        <v>0</v>
      </c>
      <c r="AF13" s="249">
        <v>3401</v>
      </c>
      <c r="AG13" s="272">
        <v>3535.0694793295038</v>
      </c>
      <c r="AH13" s="272">
        <v>0</v>
      </c>
      <c r="AI13" s="249"/>
      <c r="AJ13" s="249">
        <v>2016</v>
      </c>
      <c r="AK13" s="249" t="s">
        <v>25</v>
      </c>
      <c r="AL13" s="258">
        <v>7262164</v>
      </c>
    </row>
    <row r="14" spans="1:43" ht="15">
      <c r="A14" s="245">
        <v>43101</v>
      </c>
      <c r="B14" s="241">
        <v>765961.98306369188</v>
      </c>
      <c r="C14" s="241">
        <v>766428.98950959183</v>
      </c>
      <c r="D14" s="241">
        <v>556994.60372085404</v>
      </c>
      <c r="E14" s="241">
        <v>557243.14761604904</v>
      </c>
      <c r="F14" s="241">
        <v>411459.95129971066</v>
      </c>
      <c r="G14" s="241">
        <v>411598.03124148567</v>
      </c>
      <c r="H14" s="241">
        <v>101626.54996126122</v>
      </c>
      <c r="I14" s="241">
        <v>7928.1920689584758</v>
      </c>
      <c r="J14" s="241">
        <v>101792.24589139121</v>
      </c>
      <c r="K14" s="241">
        <v>1946403.3755785627</v>
      </c>
      <c r="L14" s="249">
        <f t="shared" si="0"/>
        <v>2018</v>
      </c>
      <c r="M14" s="294">
        <v>1050.8009999999999</v>
      </c>
      <c r="N14" s="241">
        <v>1964207.8747179369</v>
      </c>
      <c r="O14" s="277">
        <v>0</v>
      </c>
      <c r="P14" s="277">
        <v>-10024.235407767386</v>
      </c>
      <c r="Q14" s="251">
        <f t="shared" ref="Q14:Q77" si="11">K14+M14-O14-P14</f>
        <v>1957478.4119863301</v>
      </c>
      <c r="R14" s="246"/>
      <c r="S14" s="249">
        <v>2029</v>
      </c>
      <c r="T14" s="277">
        <v>20370543.494244769</v>
      </c>
      <c r="U14" s="253">
        <f t="shared" si="4"/>
        <v>5.55497238860072E-2</v>
      </c>
      <c r="V14" s="238">
        <f t="shared" ref="V14" ca="1" si="12">SUM(OFFSET($M$1,12*(S14-2017)+1,0,12,1))</f>
        <v>10582.244214611523</v>
      </c>
      <c r="W14" s="238">
        <f t="shared" ref="W14" ca="1" si="13">T14*(1+U14)+V14</f>
        <v>21512703.804972578</v>
      </c>
      <c r="X14" s="249"/>
      <c r="Y14" s="257">
        <f t="shared" si="5"/>
        <v>1131578.0665131973</v>
      </c>
      <c r="Z14" s="257">
        <f t="shared" ca="1" si="3"/>
        <v>1142160.3107278089</v>
      </c>
      <c r="AA14" s="249"/>
      <c r="AB14" s="249">
        <v>2016</v>
      </c>
      <c r="AC14" s="263">
        <v>4171</v>
      </c>
      <c r="AD14" s="263">
        <v>4342.190944228113</v>
      </c>
      <c r="AE14" s="263">
        <v>0</v>
      </c>
      <c r="AF14" s="249">
        <v>3421</v>
      </c>
      <c r="AG14" s="272">
        <v>3557.6202807855411</v>
      </c>
      <c r="AH14" s="272">
        <v>0</v>
      </c>
      <c r="AI14" s="249"/>
      <c r="AJ14" s="249">
        <v>2016</v>
      </c>
      <c r="AK14" s="249" t="s">
        <v>26</v>
      </c>
      <c r="AL14" s="258">
        <v>6533182</v>
      </c>
    </row>
    <row r="15" spans="1:43" ht="15">
      <c r="A15" s="245">
        <v>43132</v>
      </c>
      <c r="B15" s="241">
        <v>651686.02096760739</v>
      </c>
      <c r="C15" s="241">
        <v>652508.43259450735</v>
      </c>
      <c r="D15" s="241">
        <v>487421.5633132637</v>
      </c>
      <c r="E15" s="241">
        <v>487880.41718606872</v>
      </c>
      <c r="F15" s="241">
        <v>397124.31226891628</v>
      </c>
      <c r="G15" s="241">
        <v>397379.23108714126</v>
      </c>
      <c r="H15" s="241">
        <v>98937.300034976928</v>
      </c>
      <c r="I15" s="241">
        <v>8041.5160066884255</v>
      </c>
      <c r="J15" s="241">
        <v>99243.202616846931</v>
      </c>
      <c r="K15" s="241">
        <v>1734490.613962437</v>
      </c>
      <c r="L15" s="249">
        <f t="shared" si="0"/>
        <v>2018</v>
      </c>
      <c r="M15" s="294">
        <v>1024.8800000000001</v>
      </c>
      <c r="N15" s="241">
        <v>1784596.1934013714</v>
      </c>
      <c r="O15" s="277">
        <v>0</v>
      </c>
      <c r="P15" s="277">
        <v>-9081.5264909364505</v>
      </c>
      <c r="Q15" s="251">
        <f t="shared" si="11"/>
        <v>1744597.0204533734</v>
      </c>
      <c r="R15" s="246"/>
      <c r="S15" s="249">
        <v>2030</v>
      </c>
      <c r="T15" s="277">
        <v>20431049.221954409</v>
      </c>
      <c r="U15" s="253">
        <f t="shared" si="4"/>
        <v>5.55497238860072E-2</v>
      </c>
      <c r="V15" s="238">
        <f t="shared" ref="V15" ca="1" si="14">SUM(OFFSET($M$1,12*(S15-2017)+1,0,12,1))</f>
        <v>10582.24421462114</v>
      </c>
      <c r="W15" s="238">
        <f t="shared" ref="W15" ca="1" si="15">T15*(1+U15)+V15</f>
        <v>21576570.609150019</v>
      </c>
      <c r="X15" s="249"/>
      <c r="Y15" s="257">
        <f t="shared" ref="Y15" si="16">T15*(U15)</f>
        <v>1134939.1429809898</v>
      </c>
      <c r="Z15" s="257">
        <f t="shared" ref="Z15" ca="1" si="17">Y15+V15</f>
        <v>1145521.3871956109</v>
      </c>
      <c r="AA15" s="249"/>
      <c r="AB15" s="249">
        <v>2017</v>
      </c>
      <c r="AC15" s="263">
        <v>3957</v>
      </c>
      <c r="AD15" s="263">
        <v>4303.5634980489876</v>
      </c>
      <c r="AE15" s="263">
        <v>0</v>
      </c>
      <c r="AF15" s="249">
        <v>3713</v>
      </c>
      <c r="AG15" s="272">
        <v>3655.3787829617986</v>
      </c>
      <c r="AH15" s="272">
        <v>0</v>
      </c>
      <c r="AI15" s="249"/>
      <c r="AJ15" s="249">
        <v>2016</v>
      </c>
      <c r="AK15" s="249" t="s">
        <v>27</v>
      </c>
      <c r="AL15" s="258">
        <v>5121919</v>
      </c>
    </row>
    <row r="16" spans="1:43" ht="15">
      <c r="A16" s="245">
        <v>43160</v>
      </c>
      <c r="B16" s="241">
        <v>544989.06368379877</v>
      </c>
      <c r="C16" s="241">
        <v>546159.46021599881</v>
      </c>
      <c r="D16" s="241">
        <v>504082.95377012028</v>
      </c>
      <c r="E16" s="241">
        <v>504838.73605076026</v>
      </c>
      <c r="F16" s="241">
        <v>428861.24198659428</v>
      </c>
      <c r="G16" s="241">
        <v>429281.12103139429</v>
      </c>
      <c r="H16" s="241">
        <v>101578.3035572532</v>
      </c>
      <c r="I16" s="241">
        <v>8124.2793246276087</v>
      </c>
      <c r="J16" s="241">
        <v>102082.1584110132</v>
      </c>
      <c r="K16" s="241">
        <v>1675828.5749949312</v>
      </c>
      <c r="L16" s="249">
        <f t="shared" si="0"/>
        <v>2018</v>
      </c>
      <c r="M16" s="294">
        <v>1256.1010000000001</v>
      </c>
      <c r="N16" s="241">
        <v>1718663.6346914412</v>
      </c>
      <c r="O16" s="277">
        <v>0</v>
      </c>
      <c r="P16" s="277">
        <v>-10144.327922700564</v>
      </c>
      <c r="Q16" s="251">
        <f t="shared" si="11"/>
        <v>1687229.0039176319</v>
      </c>
      <c r="R16" s="246"/>
      <c r="S16" s="249">
        <v>2031</v>
      </c>
      <c r="T16" s="277">
        <v>20532174.377299033</v>
      </c>
      <c r="U16" s="253">
        <f t="shared" si="4"/>
        <v>5.55497238860072E-2</v>
      </c>
      <c r="V16" s="238">
        <f t="shared" ref="V16" ca="1" si="18">SUM(OFFSET($M$1,12*(S16-2017)+1,0,12,1))</f>
        <v>10582.244214621229</v>
      </c>
      <c r="W16" s="238">
        <f t="shared" ref="W16" ca="1" si="19">T16*(1+U16)+V16</f>
        <v>21683313.238951966</v>
      </c>
      <c r="X16" s="249"/>
      <c r="Y16" s="257">
        <f t="shared" ref="Y16" si="20">T16*(U16)</f>
        <v>1140556.6174383131</v>
      </c>
      <c r="Z16" s="257">
        <f t="shared" ref="Z16" ca="1" si="21">Y16+V16</f>
        <v>1151138.8616529342</v>
      </c>
      <c r="AA16" s="249"/>
      <c r="AB16" s="249">
        <v>2018</v>
      </c>
      <c r="AC16" s="263">
        <v>4091</v>
      </c>
      <c r="AD16" s="263">
        <v>4111.0192521946256</v>
      </c>
      <c r="AE16" s="263">
        <v>0</v>
      </c>
      <c r="AF16" s="249">
        <v>3793</v>
      </c>
      <c r="AG16" s="272">
        <v>3855.6607125935752</v>
      </c>
      <c r="AH16" s="272">
        <v>0</v>
      </c>
      <c r="AI16" s="249"/>
      <c r="AJ16" s="249">
        <v>2016</v>
      </c>
      <c r="AK16" s="249" t="s">
        <v>154</v>
      </c>
      <c r="AL16" s="258">
        <v>1281070</v>
      </c>
    </row>
    <row r="17" spans="1:38" ht="15">
      <c r="A17" s="245">
        <v>43191</v>
      </c>
      <c r="B17" s="241">
        <v>471641.55216724507</v>
      </c>
      <c r="C17" s="241">
        <v>472495.2283799451</v>
      </c>
      <c r="D17" s="241">
        <v>489915.2766260627</v>
      </c>
      <c r="E17" s="241">
        <v>490898.16375231772</v>
      </c>
      <c r="F17" s="241">
        <v>405345.34896471188</v>
      </c>
      <c r="G17" s="241">
        <v>405891.39736818691</v>
      </c>
      <c r="H17" s="241">
        <v>97499.277415801305</v>
      </c>
      <c r="I17" s="241">
        <v>8185.6582890538111</v>
      </c>
      <c r="J17" s="241">
        <v>98154.535499971302</v>
      </c>
      <c r="K17" s="241">
        <v>1554388.9210138298</v>
      </c>
      <c r="L17" s="249">
        <f t="shared" si="0"/>
        <v>2018</v>
      </c>
      <c r="M17" s="294">
        <v>901.34500000000003</v>
      </c>
      <c r="N17" s="241">
        <v>1583930.4987325028</v>
      </c>
      <c r="O17" s="277">
        <v>0</v>
      </c>
      <c r="P17" s="277">
        <v>-9953.2180119423592</v>
      </c>
      <c r="Q17" s="251">
        <f t="shared" si="11"/>
        <v>1565243.4840257722</v>
      </c>
      <c r="R17" s="246"/>
      <c r="S17" s="249">
        <v>2032</v>
      </c>
      <c r="T17" s="277">
        <v>20697864.682384681</v>
      </c>
      <c r="U17" s="253">
        <f t="shared" si="4"/>
        <v>5.55497238860072E-2</v>
      </c>
      <c r="V17" s="238">
        <f t="shared" ref="V17" ca="1" si="22">SUM(OFFSET($M$1,12*(S17-2017)+1,0,12,1))</f>
        <v>10582.244214621236</v>
      </c>
      <c r="W17" s="238">
        <f t="shared" ref="W17" ca="1" si="23">T17*(1+U17)+V17</f>
        <v>21858207.594735712</v>
      </c>
      <c r="X17" s="249"/>
      <c r="Y17" s="257">
        <f t="shared" ref="Y17" si="24">T17*(U17)</f>
        <v>1149760.6681364093</v>
      </c>
      <c r="Z17" s="257">
        <f t="shared" ref="Z17" ca="1" si="25">Y17+V17</f>
        <v>1160342.9123510304</v>
      </c>
      <c r="AA17" s="249"/>
      <c r="AB17" s="249">
        <v>2019</v>
      </c>
      <c r="AC17" s="263">
        <v>3976.1626120000001</v>
      </c>
      <c r="AD17" s="263">
        <v>4271.6787669087353</v>
      </c>
      <c r="AE17" s="263">
        <v>44.162611999999996</v>
      </c>
      <c r="AF17" s="249">
        <v>3169</v>
      </c>
      <c r="AG17" s="272">
        <v>3632.1660751873906</v>
      </c>
      <c r="AH17" s="272">
        <v>0</v>
      </c>
      <c r="AI17" s="249"/>
      <c r="AJ17" s="249">
        <v>2016</v>
      </c>
      <c r="AK17" s="249" t="s">
        <v>155</v>
      </c>
      <c r="AL17" s="258">
        <v>93179</v>
      </c>
    </row>
    <row r="18" spans="1:38" ht="15">
      <c r="A18" s="245">
        <v>43221</v>
      </c>
      <c r="B18" s="241">
        <v>473893.3027732069</v>
      </c>
      <c r="C18" s="241">
        <v>475587.51923450688</v>
      </c>
      <c r="D18" s="241">
        <v>518667.25144893519</v>
      </c>
      <c r="E18" s="241">
        <v>519964.67128943017</v>
      </c>
      <c r="F18" s="241">
        <v>436247.84235212702</v>
      </c>
      <c r="G18" s="241">
        <v>436968.63115240203</v>
      </c>
      <c r="H18" s="241">
        <v>103572.24470146654</v>
      </c>
      <c r="I18" s="241">
        <v>8104.6387123150844</v>
      </c>
      <c r="J18" s="241">
        <v>104437.19126179654</v>
      </c>
      <c r="K18" s="241">
        <v>1626058.8119418456</v>
      </c>
      <c r="L18" s="249">
        <f t="shared" si="0"/>
        <v>2018</v>
      </c>
      <c r="M18" s="294">
        <v>911.92</v>
      </c>
      <c r="N18" s="241">
        <v>1674025.4322287582</v>
      </c>
      <c r="O18" s="277">
        <v>0</v>
      </c>
      <c r="P18" s="277">
        <v>-11034.914571759145</v>
      </c>
      <c r="Q18" s="251">
        <f t="shared" si="11"/>
        <v>1638005.6465136046</v>
      </c>
      <c r="R18" s="246"/>
      <c r="S18" s="249">
        <v>2033</v>
      </c>
      <c r="T18" s="277">
        <v>20835235.848104645</v>
      </c>
      <c r="U18" s="253">
        <f t="shared" si="4"/>
        <v>5.55497238860072E-2</v>
      </c>
      <c r="V18" s="238">
        <f t="shared" ref="V18" ca="1" si="26">SUM(OFFSET($M$1,12*(S18-2017)+1,0,12,1))</f>
        <v>10582.24421462124</v>
      </c>
      <c r="W18" s="238">
        <f t="shared" ref="W18" ca="1" si="27">T18*(1+U18)+V18</f>
        <v>22003209.690781318</v>
      </c>
      <c r="X18" s="249"/>
      <c r="Y18" s="257">
        <f t="shared" ref="Y18" si="28">T18*(U18)</f>
        <v>1157391.5984620522</v>
      </c>
      <c r="Z18" s="257">
        <f t="shared" ref="Z18" ca="1" si="29">Y18+V18</f>
        <v>1167973.8426766733</v>
      </c>
      <c r="AA18" s="249"/>
      <c r="AB18" s="249">
        <v>2020</v>
      </c>
      <c r="AC18" s="263">
        <v>3899</v>
      </c>
      <c r="AD18" s="263">
        <v>4098</v>
      </c>
      <c r="AE18" s="263">
        <v>0</v>
      </c>
      <c r="AF18" s="249">
        <v>3305</v>
      </c>
      <c r="AG18" s="272">
        <v>3145.1023855467156</v>
      </c>
      <c r="AH18" s="272">
        <v>0</v>
      </c>
      <c r="AI18" s="249"/>
      <c r="AJ18" s="249">
        <v>2017</v>
      </c>
      <c r="AK18" s="249" t="s">
        <v>25</v>
      </c>
      <c r="AL18" s="258">
        <v>7224769</v>
      </c>
    </row>
    <row r="19" spans="1:38" ht="15">
      <c r="A19" s="245">
        <v>43252</v>
      </c>
      <c r="B19" s="241">
        <v>640249.85177582619</v>
      </c>
      <c r="C19" s="241">
        <v>642677.09228432621</v>
      </c>
      <c r="D19" s="241">
        <v>575036.33815520222</v>
      </c>
      <c r="E19" s="241">
        <v>576619.46212566725</v>
      </c>
      <c r="F19" s="241">
        <v>439368.20563402184</v>
      </c>
      <c r="G19" s="241">
        <v>440247.71895094682</v>
      </c>
      <c r="H19" s="241">
        <v>101450.15515481539</v>
      </c>
      <c r="I19" s="241">
        <v>8184.1658553211191</v>
      </c>
      <c r="J19" s="241">
        <v>102505.5711351254</v>
      </c>
      <c r="K19" s="241">
        <v>1862294.4676361366</v>
      </c>
      <c r="L19" s="249">
        <f t="shared" si="0"/>
        <v>2018</v>
      </c>
      <c r="M19" s="294">
        <v>866.89</v>
      </c>
      <c r="N19" s="241">
        <v>1883906.4190285569</v>
      </c>
      <c r="O19" s="277">
        <v>0</v>
      </c>
      <c r="P19" s="277">
        <v>-10880.394294763028</v>
      </c>
      <c r="Q19" s="251">
        <f t="shared" si="11"/>
        <v>1874041.7519308995</v>
      </c>
      <c r="R19" s="246"/>
      <c r="S19" s="249">
        <v>2034</v>
      </c>
      <c r="T19" s="277">
        <v>21021152.932785258</v>
      </c>
      <c r="U19" s="253">
        <f t="shared" si="4"/>
        <v>5.55497238860072E-2</v>
      </c>
      <c r="V19" s="238">
        <f t="shared" ref="V19" ca="1" si="30">SUM(OFFSET($M$1,12*(S19-2017)+1,0,12,1))</f>
        <v>10582.244214621231</v>
      </c>
      <c r="W19" s="238">
        <f t="shared" ref="W19" ca="1" si="31">T19*(1+U19)+V19</f>
        <v>22199454.418181628</v>
      </c>
      <c r="X19" s="249"/>
      <c r="Y19" s="257">
        <f t="shared" ref="Y19" si="32">T19*(U19)</f>
        <v>1167719.2411817515</v>
      </c>
      <c r="Z19" s="257">
        <f t="shared" ref="Z19" ca="1" si="33">Y19+V19</f>
        <v>1178301.4853963726</v>
      </c>
      <c r="AA19" s="249"/>
      <c r="AB19" s="249">
        <v>2021</v>
      </c>
      <c r="AC19" s="263">
        <v>4198</v>
      </c>
      <c r="AD19" s="263">
        <v>4234.1309577204584</v>
      </c>
      <c r="AE19" s="263">
        <v>0</v>
      </c>
      <c r="AF19" s="249">
        <v>3420</v>
      </c>
      <c r="AG19" s="272">
        <v>3349.66</v>
      </c>
      <c r="AH19" s="272">
        <v>0</v>
      </c>
      <c r="AI19" s="249"/>
      <c r="AJ19" s="249">
        <v>2017</v>
      </c>
      <c r="AK19" s="249" t="s">
        <v>26</v>
      </c>
      <c r="AL19" s="258">
        <v>6463691</v>
      </c>
    </row>
    <row r="20" spans="1:38" ht="15">
      <c r="A20" s="245">
        <v>43282</v>
      </c>
      <c r="B20" s="241">
        <v>754856.52763366362</v>
      </c>
      <c r="C20" s="241">
        <v>758132.51021626359</v>
      </c>
      <c r="D20" s="241">
        <v>627164.98101927515</v>
      </c>
      <c r="E20" s="241">
        <v>629062.82117667515</v>
      </c>
      <c r="F20" s="241">
        <v>453085.284556064</v>
      </c>
      <c r="G20" s="241">
        <v>454139.64019906399</v>
      </c>
      <c r="H20" s="241">
        <v>110758.75956690365</v>
      </c>
      <c r="I20" s="241">
        <v>8079.1964585063206</v>
      </c>
      <c r="J20" s="241">
        <v>112023.98633850366</v>
      </c>
      <c r="K20" s="241">
        <v>2062485.8405428978</v>
      </c>
      <c r="L20" s="249">
        <f t="shared" si="0"/>
        <v>2018</v>
      </c>
      <c r="M20" s="294">
        <v>945.02</v>
      </c>
      <c r="N20" s="241">
        <v>2097345.6310104728</v>
      </c>
      <c r="O20" s="277">
        <v>0</v>
      </c>
      <c r="P20" s="277">
        <v>-11214.176653391867</v>
      </c>
      <c r="Q20" s="251">
        <f t="shared" si="11"/>
        <v>2074645.0371962897</v>
      </c>
      <c r="R20" s="246"/>
      <c r="V20" s="248">
        <f ca="1">SUM(V2:V16)-SUM(M2:M181)</f>
        <v>0</v>
      </c>
      <c r="W20" s="249"/>
      <c r="X20" s="249"/>
      <c r="Y20" s="249"/>
      <c r="Z20" s="249"/>
      <c r="AA20" s="249"/>
      <c r="AB20" s="249">
        <v>2022</v>
      </c>
      <c r="AC20" s="263">
        <v>4074</v>
      </c>
      <c r="AD20" s="263">
        <v>4072.7060000000001</v>
      </c>
      <c r="AE20" s="263">
        <v>0</v>
      </c>
      <c r="AF20" s="249">
        <v>3794</v>
      </c>
      <c r="AG20" s="272">
        <v>3489.683</v>
      </c>
      <c r="AH20" s="272">
        <v>0</v>
      </c>
      <c r="AI20" s="249"/>
      <c r="AJ20" s="249">
        <v>2017</v>
      </c>
      <c r="AK20" s="249" t="s">
        <v>27</v>
      </c>
      <c r="AL20" s="258">
        <v>5005163</v>
      </c>
    </row>
    <row r="21" spans="1:38" ht="15">
      <c r="A21" s="245">
        <v>43313</v>
      </c>
      <c r="B21" s="241">
        <v>708780.22489626636</v>
      </c>
      <c r="C21" s="241">
        <v>712272.71018476633</v>
      </c>
      <c r="D21" s="241">
        <v>620264.39195547136</v>
      </c>
      <c r="E21" s="241">
        <v>622449.65160009137</v>
      </c>
      <c r="F21" s="241">
        <v>453985.54936484114</v>
      </c>
      <c r="G21" s="241">
        <v>455199.58250074112</v>
      </c>
      <c r="H21" s="241">
        <v>110271.7395563842</v>
      </c>
      <c r="I21" s="241">
        <v>8074.1530258477987</v>
      </c>
      <c r="J21" s="241">
        <v>111728.5793194642</v>
      </c>
      <c r="K21" s="241">
        <v>2006996.9738685493</v>
      </c>
      <c r="L21" s="249">
        <f t="shared" si="0"/>
        <v>2018</v>
      </c>
      <c r="M21" s="294">
        <v>952.5</v>
      </c>
      <c r="N21" s="241">
        <v>2033087.290840161</v>
      </c>
      <c r="O21" s="277">
        <v>0</v>
      </c>
      <c r="P21" s="277">
        <v>-11243.342880172853</v>
      </c>
      <c r="Q21" s="251">
        <f t="shared" si="11"/>
        <v>2019192.8167487222</v>
      </c>
      <c r="R21" s="246"/>
      <c r="S21" s="249"/>
      <c r="T21" s="249" t="s">
        <v>208</v>
      </c>
      <c r="U21" s="249"/>
      <c r="V21" s="249"/>
      <c r="W21" s="249"/>
      <c r="X21" s="249"/>
      <c r="Y21" s="249"/>
      <c r="Z21" s="249"/>
      <c r="AA21" s="249"/>
      <c r="AB21" s="249">
        <v>2023</v>
      </c>
      <c r="AC21" s="258">
        <v>4031</v>
      </c>
      <c r="AD21" s="258">
        <v>4204.1220000000003</v>
      </c>
      <c r="AE21" s="249">
        <v>0</v>
      </c>
      <c r="AF21" s="249">
        <v>3739</v>
      </c>
      <c r="AG21" s="249">
        <v>3779.181</v>
      </c>
      <c r="AH21" s="249">
        <v>0</v>
      </c>
      <c r="AI21" s="249"/>
      <c r="AJ21" s="249">
        <v>2017</v>
      </c>
      <c r="AK21" s="249" t="s">
        <v>154</v>
      </c>
      <c r="AL21" s="258">
        <v>1206706</v>
      </c>
    </row>
    <row r="22" spans="1:38" ht="15">
      <c r="A22" s="245">
        <v>43344</v>
      </c>
      <c r="B22" s="241">
        <v>558312.12826260144</v>
      </c>
      <c r="C22" s="241">
        <v>561564.80275530147</v>
      </c>
      <c r="D22" s="241">
        <v>560259.72410014516</v>
      </c>
      <c r="E22" s="241">
        <v>562538.99435289018</v>
      </c>
      <c r="F22" s="241">
        <v>429961.99802080687</v>
      </c>
      <c r="G22" s="241">
        <v>431228.2592723319</v>
      </c>
      <c r="H22" s="241">
        <v>102692.66437533527</v>
      </c>
      <c r="I22" s="241">
        <v>8149.8154447653451</v>
      </c>
      <c r="J22" s="241">
        <v>104212.17787716528</v>
      </c>
      <c r="K22" s="241">
        <v>1751554.2271694429</v>
      </c>
      <c r="L22" s="249">
        <f t="shared" si="0"/>
        <v>2018</v>
      </c>
      <c r="M22" s="294">
        <v>888.51599999999996</v>
      </c>
      <c r="N22" s="241">
        <v>1784780.7315469978</v>
      </c>
      <c r="O22" s="277">
        <v>0</v>
      </c>
      <c r="P22" s="277">
        <v>-10575.572672233568</v>
      </c>
      <c r="Q22" s="251">
        <f t="shared" si="11"/>
        <v>1763018.3158416767</v>
      </c>
      <c r="R22" s="246"/>
      <c r="S22" s="249"/>
      <c r="T22" s="250" t="s">
        <v>166</v>
      </c>
      <c r="U22" s="250" t="s">
        <v>167</v>
      </c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>
        <v>2017</v>
      </c>
      <c r="AK22" s="249" t="s">
        <v>155</v>
      </c>
      <c r="AL22" s="258">
        <v>92262</v>
      </c>
    </row>
    <row r="23" spans="1:38" ht="15">
      <c r="A23" s="245">
        <v>43374</v>
      </c>
      <c r="B23" s="241">
        <v>460064.80130112951</v>
      </c>
      <c r="C23" s="241">
        <v>462217.10853852949</v>
      </c>
      <c r="D23" s="241">
        <v>510029.18112900655</v>
      </c>
      <c r="E23" s="241">
        <v>512536.67532471655</v>
      </c>
      <c r="F23" s="241">
        <v>414694.43931558222</v>
      </c>
      <c r="G23" s="241">
        <v>416087.4916465322</v>
      </c>
      <c r="H23" s="241">
        <v>98808.353700751599</v>
      </c>
      <c r="I23" s="241">
        <v>8116.179788428065</v>
      </c>
      <c r="J23" s="241">
        <v>100480.0164978916</v>
      </c>
      <c r="K23" s="241">
        <v>1574577.1980153767</v>
      </c>
      <c r="L23" s="249">
        <f t="shared" si="0"/>
        <v>2018</v>
      </c>
      <c r="M23" s="294">
        <v>908.28499999999997</v>
      </c>
      <c r="N23" s="241">
        <v>1624319.0485028408</v>
      </c>
      <c r="O23" s="277">
        <v>0</v>
      </c>
      <c r="P23" s="277">
        <v>-10111.545999105367</v>
      </c>
      <c r="Q23" s="251">
        <f t="shared" si="11"/>
        <v>1585597.0290144819</v>
      </c>
      <c r="R23" s="246"/>
      <c r="S23" s="249">
        <v>2017</v>
      </c>
      <c r="T23" s="238">
        <f t="shared" ref="T23:T38" ca="1" si="34">SUM(OFFSET(O$13,12*($S23-2018)+1,0,12,1))</f>
        <v>0</v>
      </c>
      <c r="U23" s="238">
        <f t="shared" ref="U23:U38" ca="1" si="35">SUM(OFFSET(P$13,12*($S23-2018)+1,0,12,1))</f>
        <v>0</v>
      </c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>
        <f>AJ18+1</f>
        <v>2018</v>
      </c>
      <c r="AK23" s="249" t="str">
        <f>AK18</f>
        <v>Residential</v>
      </c>
      <c r="AL23" s="258">
        <v>7241327.3175165318</v>
      </c>
    </row>
    <row r="24" spans="1:38" ht="15">
      <c r="A24" s="245">
        <v>43405</v>
      </c>
      <c r="B24" s="241">
        <v>540597.48942296312</v>
      </c>
      <c r="C24" s="241">
        <v>544521.35651176306</v>
      </c>
      <c r="D24" s="241">
        <v>494833.86315379868</v>
      </c>
      <c r="E24" s="241">
        <v>497481.4254005737</v>
      </c>
      <c r="F24" s="241">
        <v>407430.2180206264</v>
      </c>
      <c r="G24" s="241">
        <v>408901.08593550138</v>
      </c>
      <c r="H24" s="241">
        <v>91815.342308615043</v>
      </c>
      <c r="I24" s="241">
        <v>8119.6997284972595</v>
      </c>
      <c r="J24" s="241">
        <v>93580.383806465048</v>
      </c>
      <c r="K24" s="241">
        <v>1628498.5384786143</v>
      </c>
      <c r="L24" s="249">
        <f t="shared" si="0"/>
        <v>2018</v>
      </c>
      <c r="M24" s="294">
        <v>869.35299999999995</v>
      </c>
      <c r="N24" s="241">
        <v>1672906.678799575</v>
      </c>
      <c r="O24" s="277">
        <v>0</v>
      </c>
      <c r="P24" s="277">
        <v>-9748.5695067176912</v>
      </c>
      <c r="Q24" s="251">
        <f t="shared" si="11"/>
        <v>1639116.4609853318</v>
      </c>
      <c r="R24" s="246"/>
      <c r="S24" s="249">
        <v>2018</v>
      </c>
      <c r="T24" s="238">
        <f t="shared" ca="1" si="34"/>
        <v>0</v>
      </c>
      <c r="U24" s="238">
        <f t="shared" ca="1" si="35"/>
        <v>-124008.83526831477</v>
      </c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>
        <f t="shared" ref="AJ24:AJ27" si="36">AJ19+1</f>
        <v>2018</v>
      </c>
      <c r="AK24" s="249" t="str">
        <f t="shared" ref="AK24:AK47" si="37">AK19</f>
        <v>Commercial</v>
      </c>
      <c r="AL24" s="258">
        <v>6493124.4758568648</v>
      </c>
    </row>
    <row r="25" spans="1:38" ht="15">
      <c r="A25" s="245">
        <v>43435</v>
      </c>
      <c r="B25" s="241">
        <v>704238.20752986567</v>
      </c>
      <c r="C25" s="241">
        <v>709829.35639806569</v>
      </c>
      <c r="D25" s="241">
        <v>518548.03107099078</v>
      </c>
      <c r="E25" s="241">
        <v>521491.41125452577</v>
      </c>
      <c r="F25" s="241">
        <v>417829.81591698906</v>
      </c>
      <c r="G25" s="241">
        <v>419465.02713006403</v>
      </c>
      <c r="H25" s="241">
        <v>100983.82698505299</v>
      </c>
      <c r="I25" s="241">
        <v>8138.4502246964239</v>
      </c>
      <c r="J25" s="241">
        <v>102946.080440743</v>
      </c>
      <c r="K25" s="241">
        <v>1846935.8129278256</v>
      </c>
      <c r="L25" s="249">
        <f t="shared" si="0"/>
        <v>2018</v>
      </c>
      <c r="M25" s="294">
        <v>923.125</v>
      </c>
      <c r="N25" s="241">
        <v>1906165.2682434586</v>
      </c>
      <c r="O25" s="277">
        <v>0</v>
      </c>
      <c r="P25" s="277">
        <v>-9997.0108568244887</v>
      </c>
      <c r="Q25" s="251">
        <f t="shared" si="11"/>
        <v>1857855.9487846501</v>
      </c>
      <c r="R25" s="246"/>
      <c r="S25" s="249">
        <v>2019</v>
      </c>
      <c r="T25" s="238">
        <f t="shared" ca="1" si="34"/>
        <v>-138077.40983171607</v>
      </c>
      <c r="U25" s="238">
        <f t="shared" ca="1" si="35"/>
        <v>-206379.972511828</v>
      </c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>
        <f t="shared" si="36"/>
        <v>2018</v>
      </c>
      <c r="AK25" s="249" t="str">
        <f t="shared" si="37"/>
        <v>Industrial</v>
      </c>
      <c r="AL25" s="258">
        <v>4979116.6977120154</v>
      </c>
    </row>
    <row r="26" spans="1:38" ht="15">
      <c r="A26" s="245">
        <v>43466</v>
      </c>
      <c r="B26" s="241">
        <v>725956.4875589268</v>
      </c>
      <c r="C26" s="241">
        <v>726409.11565632676</v>
      </c>
      <c r="D26" s="241">
        <v>543882.40852097201</v>
      </c>
      <c r="E26" s="241">
        <v>544110.67944047204</v>
      </c>
      <c r="F26" s="241">
        <v>404649.67820188566</v>
      </c>
      <c r="G26" s="241">
        <v>404776.49537938565</v>
      </c>
      <c r="H26" s="241">
        <v>95192.929873755871</v>
      </c>
      <c r="I26" s="241">
        <v>95345.110486755875</v>
      </c>
      <c r="J26" s="241">
        <v>8096.8840709043779</v>
      </c>
      <c r="K26" s="241">
        <v>1876533.4868229351</v>
      </c>
      <c r="L26" s="249">
        <f>YEAR(A26)</f>
        <v>2019</v>
      </c>
      <c r="M26" s="294">
        <v>1049.905</v>
      </c>
      <c r="N26" s="251">
        <f>K26+M26</f>
        <v>1877583.3918229351</v>
      </c>
      <c r="O26" s="277">
        <v>-14540.255955422759</v>
      </c>
      <c r="P26" s="277">
        <v>-16682.693805089883</v>
      </c>
      <c r="Q26" s="251">
        <f>K26+M26-O26-P26</f>
        <v>1908806.3415834478</v>
      </c>
      <c r="R26" s="246"/>
      <c r="S26" s="249">
        <v>2020</v>
      </c>
      <c r="T26" s="238">
        <f t="shared" ca="1" si="34"/>
        <v>-250642.19484479647</v>
      </c>
      <c r="U26" s="238">
        <f t="shared" ca="1" si="35"/>
        <v>-269834.51674706826</v>
      </c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>
        <f t="shared" si="36"/>
        <v>2018</v>
      </c>
      <c r="AK26" s="249" t="str">
        <f t="shared" si="37"/>
        <v>OPA</v>
      </c>
      <c r="AL26" s="258">
        <v>1247840.146008495</v>
      </c>
    </row>
    <row r="27" spans="1:38" ht="15">
      <c r="A27" s="245">
        <v>43497</v>
      </c>
      <c r="B27" s="241">
        <v>678585.94754765206</v>
      </c>
      <c r="C27" s="241">
        <v>679376.92748875206</v>
      </c>
      <c r="D27" s="241">
        <v>501025.51579195965</v>
      </c>
      <c r="E27" s="241">
        <v>501436.89506562467</v>
      </c>
      <c r="F27" s="241">
        <v>387116.91217972164</v>
      </c>
      <c r="G27" s="241">
        <v>387345.45622064662</v>
      </c>
      <c r="H27" s="241">
        <v>91778.878420083274</v>
      </c>
      <c r="I27" s="241">
        <v>92053.131269193269</v>
      </c>
      <c r="J27" s="241">
        <v>8134.3544305833911</v>
      </c>
      <c r="K27" s="241">
        <v>1759223.0895318845</v>
      </c>
      <c r="L27" s="249">
        <f t="shared" ref="L27:L90" si="38">YEAR(A27)</f>
        <v>2019</v>
      </c>
      <c r="M27" s="294">
        <v>1079.386</v>
      </c>
      <c r="N27" s="251">
        <f t="shared" ref="N27:N90" si="39">K27+M27</f>
        <v>1760302.4755318845</v>
      </c>
      <c r="O27" s="277">
        <v>-12838.820676393718</v>
      </c>
      <c r="P27" s="277">
        <v>-15113.803653664239</v>
      </c>
      <c r="Q27" s="251">
        <f t="shared" si="11"/>
        <v>1788255.0998619425</v>
      </c>
      <c r="R27" s="246"/>
      <c r="S27" s="249">
        <v>2021</v>
      </c>
      <c r="T27" s="238">
        <f t="shared" ca="1" si="34"/>
        <v>-250893.2997501413</v>
      </c>
      <c r="U27" s="238">
        <f t="shared" ca="1" si="35"/>
        <v>-269834.51674706826</v>
      </c>
      <c r="V27" s="249"/>
      <c r="W27" s="249"/>
      <c r="X27" s="257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>
        <f t="shared" si="36"/>
        <v>2018</v>
      </c>
      <c r="AK27" s="249" t="str">
        <f t="shared" si="37"/>
        <v>Other</v>
      </c>
      <c r="AL27" s="258">
        <v>92610.592000000004</v>
      </c>
    </row>
    <row r="28" spans="1:38" ht="15">
      <c r="A28" s="245">
        <v>43525</v>
      </c>
      <c r="B28" s="241">
        <v>477463.93905154127</v>
      </c>
      <c r="C28" s="241">
        <v>478709.08633134124</v>
      </c>
      <c r="D28" s="241">
        <v>487464.63166509202</v>
      </c>
      <c r="E28" s="241">
        <v>488150.81178886699</v>
      </c>
      <c r="F28" s="241">
        <v>403873.32163549046</v>
      </c>
      <c r="G28" s="241">
        <v>404254.53281536547</v>
      </c>
      <c r="H28" s="241">
        <v>104349.49635178919</v>
      </c>
      <c r="I28" s="241">
        <v>104806.94976763919</v>
      </c>
      <c r="J28" s="241">
        <v>8152.2386594814388</v>
      </c>
      <c r="K28" s="241">
        <v>1563589.6348547717</v>
      </c>
      <c r="L28" s="249">
        <f t="shared" si="38"/>
        <v>2019</v>
      </c>
      <c r="M28" s="294">
        <v>1078.979</v>
      </c>
      <c r="N28" s="251">
        <f t="shared" si="39"/>
        <v>1564668.6138547717</v>
      </c>
      <c r="O28" s="277">
        <v>-11296.461228891934</v>
      </c>
      <c r="P28" s="277">
        <v>-16882.556096169061</v>
      </c>
      <c r="Q28" s="251">
        <f t="shared" si="11"/>
        <v>1592847.6311798329</v>
      </c>
      <c r="R28" s="246"/>
      <c r="S28" s="249">
        <v>2022</v>
      </c>
      <c r="T28" s="238">
        <f t="shared" ca="1" si="34"/>
        <v>-250893.29975014133</v>
      </c>
      <c r="U28" s="238">
        <f t="shared" ca="1" si="35"/>
        <v>-269834.51674706826</v>
      </c>
      <c r="V28" s="249"/>
      <c r="W28" s="249"/>
      <c r="X28" s="257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>
        <v>2019</v>
      </c>
      <c r="AK28" s="249" t="str">
        <f>AK23</f>
        <v>Residential</v>
      </c>
      <c r="AL28" s="258">
        <v>7215923</v>
      </c>
    </row>
    <row r="29" spans="1:38" ht="15">
      <c r="A29" s="245">
        <v>43556</v>
      </c>
      <c r="B29" s="241">
        <v>478067.89267171721</v>
      </c>
      <c r="C29" s="241">
        <v>479489.41142411722</v>
      </c>
      <c r="D29" s="241">
        <v>490649.43384259718</v>
      </c>
      <c r="E29" s="241">
        <v>491560.04892855219</v>
      </c>
      <c r="F29" s="241">
        <v>410702.2549565495</v>
      </c>
      <c r="G29" s="241">
        <v>411208.15222652449</v>
      </c>
      <c r="H29" s="241">
        <v>97336.579828513</v>
      </c>
      <c r="I29" s="241">
        <v>97943.656552483008</v>
      </c>
      <c r="J29" s="241">
        <v>8228.348047273148</v>
      </c>
      <c r="K29" s="241">
        <v>1567474.9888158543</v>
      </c>
      <c r="L29" s="249">
        <f t="shared" si="38"/>
        <v>2019</v>
      </c>
      <c r="M29" s="294">
        <v>1004.265</v>
      </c>
      <c r="N29" s="251">
        <f t="shared" si="39"/>
        <v>1568479.2538158542</v>
      </c>
      <c r="O29" s="277">
        <v>-8492.4011187756641</v>
      </c>
      <c r="P29" s="277">
        <v>-16564.504095731521</v>
      </c>
      <c r="Q29" s="251">
        <f t="shared" si="11"/>
        <v>1593536.1590303613</v>
      </c>
      <c r="R29" s="246"/>
      <c r="S29" s="249">
        <v>2023</v>
      </c>
      <c r="T29" s="238">
        <f t="shared" ref="T29" ca="1" si="40">SUM(OFFSET(O$13,12*($S29-2018)+1,0,12,1))</f>
        <v>0</v>
      </c>
      <c r="U29" s="238">
        <f t="shared" ref="U29" ca="1" si="41">SUM(OFFSET(P$13,12*($S29-2018)+1,0,12,1))</f>
        <v>0</v>
      </c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>
        <v>2019</v>
      </c>
      <c r="AK29" s="249" t="str">
        <f t="shared" si="37"/>
        <v>Commercial</v>
      </c>
      <c r="AL29" s="258">
        <v>6396886</v>
      </c>
    </row>
    <row r="30" spans="1:38" ht="15">
      <c r="A30" s="245">
        <v>43586</v>
      </c>
      <c r="B30" s="241">
        <v>482515.96512145549</v>
      </c>
      <c r="C30" s="241">
        <v>484381.80907615548</v>
      </c>
      <c r="D30" s="241">
        <v>505365.08506073215</v>
      </c>
      <c r="E30" s="241">
        <v>506587.45934456214</v>
      </c>
      <c r="F30" s="241">
        <v>428437.67714747792</v>
      </c>
      <c r="G30" s="241">
        <v>429116.77397182793</v>
      </c>
      <c r="H30" s="241">
        <v>103657.39480981787</v>
      </c>
      <c r="I30" s="241">
        <v>104472.31099903787</v>
      </c>
      <c r="J30" s="241">
        <v>8127.1588169317001</v>
      </c>
      <c r="K30" s="241">
        <v>1612988.9962828455</v>
      </c>
      <c r="L30" s="249">
        <f t="shared" si="38"/>
        <v>2019</v>
      </c>
      <c r="M30" s="294">
        <v>911.38</v>
      </c>
      <c r="N30" s="251">
        <f t="shared" si="39"/>
        <v>1613900.3762828454</v>
      </c>
      <c r="O30" s="277">
        <v>-9148.184648955943</v>
      </c>
      <c r="P30" s="277">
        <v>-18364.702491257998</v>
      </c>
      <c r="Q30" s="251">
        <f t="shared" si="11"/>
        <v>1641413.2634230594</v>
      </c>
      <c r="R30" s="246"/>
      <c r="S30" s="249">
        <v>2024</v>
      </c>
      <c r="T30" s="238">
        <f t="shared" ca="1" si="34"/>
        <v>0</v>
      </c>
      <c r="U30" s="238">
        <f t="shared" ca="1" si="35"/>
        <v>0</v>
      </c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>
        <v>2019</v>
      </c>
      <c r="AK30" s="249" t="str">
        <f t="shared" si="37"/>
        <v>Industrial</v>
      </c>
      <c r="AL30" s="258">
        <v>4864581</v>
      </c>
    </row>
    <row r="31" spans="1:38" ht="15">
      <c r="A31" s="245">
        <v>43617</v>
      </c>
      <c r="B31" s="241">
        <v>662743.85407588957</v>
      </c>
      <c r="C31" s="241">
        <v>665151.71814138955</v>
      </c>
      <c r="D31" s="241">
        <v>601091.37988167524</v>
      </c>
      <c r="E31" s="241">
        <v>602514.9730359352</v>
      </c>
      <c r="F31" s="241">
        <v>423688.45132451144</v>
      </c>
      <c r="G31" s="241">
        <v>424479.33641021146</v>
      </c>
      <c r="H31" s="241">
        <v>106965.43106114084</v>
      </c>
      <c r="I31" s="241">
        <v>107914.49316398085</v>
      </c>
      <c r="J31" s="241">
        <v>8214.5159757949932</v>
      </c>
      <c r="K31" s="241">
        <v>1902843.3213426357</v>
      </c>
      <c r="L31" s="249">
        <f t="shared" si="38"/>
        <v>2019</v>
      </c>
      <c r="M31" s="294">
        <v>794.399</v>
      </c>
      <c r="N31" s="251">
        <f t="shared" si="39"/>
        <v>1903637.7203426356</v>
      </c>
      <c r="O31" s="277">
        <v>-11804.441120139449</v>
      </c>
      <c r="P31" s="277">
        <v>-18107.544277893769</v>
      </c>
      <c r="Q31" s="251">
        <f t="shared" si="11"/>
        <v>1933549.705740669</v>
      </c>
      <c r="R31" s="246"/>
      <c r="S31" s="249">
        <v>2025</v>
      </c>
      <c r="T31" s="238">
        <f t="shared" ca="1" si="34"/>
        <v>0</v>
      </c>
      <c r="U31" s="238">
        <f t="shared" ca="1" si="35"/>
        <v>0</v>
      </c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>
        <v>2019</v>
      </c>
      <c r="AK31" s="249" t="str">
        <f t="shared" si="37"/>
        <v>OPA</v>
      </c>
      <c r="AL31" s="258">
        <v>1221110</v>
      </c>
    </row>
    <row r="32" spans="1:38" ht="15">
      <c r="A32" s="245">
        <v>43647</v>
      </c>
      <c r="B32" s="241">
        <v>756846.66385478375</v>
      </c>
      <c r="C32" s="241">
        <v>760094.89015928376</v>
      </c>
      <c r="D32" s="241">
        <v>621284.71498487843</v>
      </c>
      <c r="E32" s="241">
        <v>623011.46704114345</v>
      </c>
      <c r="F32" s="241">
        <v>447440.07350182382</v>
      </c>
      <c r="G32" s="241">
        <v>448399.38019974885</v>
      </c>
      <c r="H32" s="241">
        <v>116953.60562578094</v>
      </c>
      <c r="I32" s="241">
        <v>118104.77366329094</v>
      </c>
      <c r="J32" s="241">
        <v>8099.1928036174795</v>
      </c>
      <c r="K32" s="241">
        <v>2058980.8893065567</v>
      </c>
      <c r="L32" s="249">
        <f t="shared" si="38"/>
        <v>2019</v>
      </c>
      <c r="M32" s="294">
        <v>843.99</v>
      </c>
      <c r="N32" s="251">
        <f t="shared" si="39"/>
        <v>2059824.8793065567</v>
      </c>
      <c r="O32" s="277">
        <v>-14064.182746188053</v>
      </c>
      <c r="P32" s="277">
        <v>-18663.036907509282</v>
      </c>
      <c r="Q32" s="251">
        <f t="shared" si="11"/>
        <v>2092552.0989602539</v>
      </c>
      <c r="R32" s="246"/>
      <c r="S32" s="249">
        <v>2026</v>
      </c>
      <c r="T32" s="238">
        <f t="shared" ca="1" si="34"/>
        <v>0</v>
      </c>
      <c r="U32" s="238">
        <f t="shared" ca="1" si="35"/>
        <v>0</v>
      </c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76">
        <v>2019</v>
      </c>
      <c r="AK32" s="276" t="str">
        <f t="shared" si="37"/>
        <v>Other</v>
      </c>
      <c r="AL32" s="275">
        <v>93277.45</v>
      </c>
    </row>
    <row r="33" spans="1:39" ht="15">
      <c r="A33" s="245">
        <v>43678</v>
      </c>
      <c r="B33" s="241">
        <v>696179.60906934296</v>
      </c>
      <c r="C33" s="241">
        <v>699706.27123404306</v>
      </c>
      <c r="D33" s="241">
        <v>608364.78030764533</v>
      </c>
      <c r="E33" s="241">
        <v>610336.86124175531</v>
      </c>
      <c r="F33" s="241">
        <v>447883.28492137819</v>
      </c>
      <c r="G33" s="241">
        <v>448978.88544032822</v>
      </c>
      <c r="H33" s="241">
        <v>116571.57653992341</v>
      </c>
      <c r="I33" s="241">
        <v>117886.29716266341</v>
      </c>
      <c r="J33" s="241">
        <v>8098.6578047503963</v>
      </c>
      <c r="K33" s="241">
        <v>1981370.1791751627</v>
      </c>
      <c r="L33" s="249">
        <f t="shared" si="38"/>
        <v>2019</v>
      </c>
      <c r="M33" s="294">
        <v>1005.921</v>
      </c>
      <c r="N33" s="251">
        <f t="shared" si="39"/>
        <v>1982376.1001751628</v>
      </c>
      <c r="O33" s="277">
        <v>-12849.862565897605</v>
      </c>
      <c r="P33" s="277">
        <v>-18711.576393170199</v>
      </c>
      <c r="Q33" s="251">
        <f t="shared" si="11"/>
        <v>2013937.5391342307</v>
      </c>
      <c r="R33" s="246"/>
      <c r="S33" s="249">
        <v>2027</v>
      </c>
      <c r="T33" s="238">
        <f t="shared" ca="1" si="34"/>
        <v>0</v>
      </c>
      <c r="U33" s="238">
        <f t="shared" ca="1" si="35"/>
        <v>0</v>
      </c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76">
        <v>2020</v>
      </c>
      <c r="AK33" s="276" t="str">
        <f t="shared" si="37"/>
        <v>Residential</v>
      </c>
      <c r="AL33" s="275">
        <v>7535155.988604364</v>
      </c>
      <c r="AM33" s="248"/>
    </row>
    <row r="34" spans="1:39" ht="15">
      <c r="A34" s="245">
        <v>43709</v>
      </c>
      <c r="B34" s="241">
        <v>548357.63435923145</v>
      </c>
      <c r="C34" s="241">
        <v>551803.88764973136</v>
      </c>
      <c r="D34" s="241">
        <v>549582.03234419925</v>
      </c>
      <c r="E34" s="241">
        <v>551669.40262468427</v>
      </c>
      <c r="F34" s="241">
        <v>424150.30141209433</v>
      </c>
      <c r="G34" s="241">
        <v>425309.95156791934</v>
      </c>
      <c r="H34" s="241">
        <v>106555.47078665487</v>
      </c>
      <c r="I34" s="241">
        <v>107947.05097364487</v>
      </c>
      <c r="J34" s="241">
        <v>8171.3910934546493</v>
      </c>
      <c r="K34" s="241">
        <v>1727741.5529538619</v>
      </c>
      <c r="L34" s="249">
        <f t="shared" si="38"/>
        <v>2019</v>
      </c>
      <c r="M34" s="294">
        <v>934.68</v>
      </c>
      <c r="N34" s="251">
        <f t="shared" si="39"/>
        <v>1728676.2329538618</v>
      </c>
      <c r="O34" s="277">
        <v>-10169.308911196098</v>
      </c>
      <c r="P34" s="277">
        <v>-17600.249148941661</v>
      </c>
      <c r="Q34" s="251">
        <f t="shared" si="11"/>
        <v>1756445.7910139996</v>
      </c>
      <c r="R34" s="246"/>
      <c r="S34" s="249">
        <v>2028</v>
      </c>
      <c r="T34" s="238">
        <f t="shared" ca="1" si="34"/>
        <v>0</v>
      </c>
      <c r="U34" s="238">
        <f t="shared" ca="1" si="35"/>
        <v>0</v>
      </c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76">
        <v>2020</v>
      </c>
      <c r="AK34" s="276" t="str">
        <f>AK29</f>
        <v>Commercial</v>
      </c>
      <c r="AL34" s="275">
        <v>6038464.556702327</v>
      </c>
      <c r="AM34" s="248"/>
    </row>
    <row r="35" spans="1:39" ht="15">
      <c r="A35" s="245">
        <v>43739</v>
      </c>
      <c r="B35" s="241">
        <v>475785.80172809534</v>
      </c>
      <c r="C35" s="241">
        <v>479383.94608569535</v>
      </c>
      <c r="D35" s="241">
        <v>500949.40903012798</v>
      </c>
      <c r="E35" s="241">
        <v>503254.01856417296</v>
      </c>
      <c r="F35" s="241">
        <v>424777.01171708293</v>
      </c>
      <c r="G35" s="241">
        <v>426057.35034710792</v>
      </c>
      <c r="H35" s="241">
        <v>104971.1125519417</v>
      </c>
      <c r="I35" s="241">
        <v>106507.51890797169</v>
      </c>
      <c r="J35" s="241">
        <v>8139.95028191036</v>
      </c>
      <c r="K35" s="241">
        <v>1598760.1905993992</v>
      </c>
      <c r="L35" s="249">
        <f t="shared" si="38"/>
        <v>2019</v>
      </c>
      <c r="M35" s="294">
        <v>935.995</v>
      </c>
      <c r="N35" s="251">
        <f t="shared" si="39"/>
        <v>1599696.1855993993</v>
      </c>
      <c r="O35" s="277">
        <v>-8414.5893879335727</v>
      </c>
      <c r="P35" s="277">
        <v>-16827.999237572465</v>
      </c>
      <c r="Q35" s="251">
        <f t="shared" si="11"/>
        <v>1624938.7742249053</v>
      </c>
      <c r="R35" s="246"/>
      <c r="S35" s="249">
        <v>2029</v>
      </c>
      <c r="T35" s="238">
        <f t="shared" ca="1" si="34"/>
        <v>0</v>
      </c>
      <c r="U35" s="238">
        <f t="shared" ca="1" si="35"/>
        <v>0</v>
      </c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76">
        <v>2020</v>
      </c>
      <c r="AK35" s="276" t="str">
        <f t="shared" si="37"/>
        <v>Industrial</v>
      </c>
      <c r="AL35" s="275">
        <v>4598303.06426231</v>
      </c>
      <c r="AM35" s="248"/>
    </row>
    <row r="36" spans="1:39" ht="15">
      <c r="A36" s="245">
        <v>43770</v>
      </c>
      <c r="B36" s="241">
        <v>550965.83096281113</v>
      </c>
      <c r="C36" s="241">
        <v>555189.64466981112</v>
      </c>
      <c r="D36" s="241">
        <v>493217.07084444503</v>
      </c>
      <c r="E36" s="241">
        <v>495643.64779079001</v>
      </c>
      <c r="F36" s="241">
        <v>412563.37798153248</v>
      </c>
      <c r="G36" s="241">
        <v>413911.47628505749</v>
      </c>
      <c r="H36" s="241">
        <v>105420.08457819598</v>
      </c>
      <c r="I36" s="241">
        <v>107037.80254242598</v>
      </c>
      <c r="J36" s="241">
        <v>8141.2003980992176</v>
      </c>
      <c r="K36" s="241">
        <v>1657537.7164038927</v>
      </c>
      <c r="L36" s="249">
        <f t="shared" si="38"/>
        <v>2019</v>
      </c>
      <c r="M36" s="294">
        <v>841.69899999999996</v>
      </c>
      <c r="N36" s="251">
        <f t="shared" si="39"/>
        <v>1658379.4154038928</v>
      </c>
      <c r="O36" s="277">
        <v>-10050.666937013753</v>
      </c>
      <c r="P36" s="277">
        <v>-16223.920678497821</v>
      </c>
      <c r="Q36" s="251">
        <f t="shared" si="11"/>
        <v>1684654.0030194044</v>
      </c>
      <c r="R36" s="246"/>
      <c r="S36" s="249">
        <v>2030</v>
      </c>
      <c r="T36" s="238">
        <f t="shared" ca="1" si="34"/>
        <v>0</v>
      </c>
      <c r="U36" s="238">
        <f t="shared" ca="1" si="35"/>
        <v>0</v>
      </c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76">
        <v>2020</v>
      </c>
      <c r="AK36" s="276" t="str">
        <f t="shared" si="37"/>
        <v>OPA</v>
      </c>
      <c r="AL36" s="275">
        <v>1109404.0827940968</v>
      </c>
      <c r="AM36" s="248"/>
    </row>
    <row r="37" spans="1:39" ht="15">
      <c r="A37" s="245">
        <v>43800</v>
      </c>
      <c r="B37" s="241">
        <v>703894.11804351443</v>
      </c>
      <c r="C37" s="241">
        <v>709307.56445501442</v>
      </c>
      <c r="D37" s="241">
        <v>516339.65001537523</v>
      </c>
      <c r="E37" s="241">
        <v>519066.91509116022</v>
      </c>
      <c r="F37" s="241">
        <v>420040.84655209648</v>
      </c>
      <c r="G37" s="241">
        <v>421555.99381642148</v>
      </c>
      <c r="H37" s="241">
        <v>99032.40321979174</v>
      </c>
      <c r="I37" s="241">
        <v>100850.57993698174</v>
      </c>
      <c r="J37" s="241">
        <v>8160.6275280133768</v>
      </c>
      <c r="K37" s="241">
        <v>1844538.9905582031</v>
      </c>
      <c r="L37" s="249">
        <f t="shared" si="38"/>
        <v>2019</v>
      </c>
      <c r="M37" s="294">
        <v>1020.151</v>
      </c>
      <c r="N37" s="251">
        <f t="shared" si="39"/>
        <v>1845559.1415582031</v>
      </c>
      <c r="O37" s="277">
        <v>-14408.23453490748</v>
      </c>
      <c r="P37" s="277">
        <v>-16637.385726330129</v>
      </c>
      <c r="Q37" s="251">
        <f t="shared" si="11"/>
        <v>1876604.7618194406</v>
      </c>
      <c r="R37" s="246"/>
      <c r="S37" s="249">
        <v>2031</v>
      </c>
      <c r="T37" s="238">
        <f t="shared" ca="1" si="34"/>
        <v>0</v>
      </c>
      <c r="U37" s="238">
        <f t="shared" ca="1" si="35"/>
        <v>0</v>
      </c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76">
        <v>2020</v>
      </c>
      <c r="AK37" s="276" t="str">
        <f t="shared" si="37"/>
        <v>Other</v>
      </c>
      <c r="AL37" s="275">
        <v>91003</v>
      </c>
      <c r="AM37" s="248"/>
    </row>
    <row r="38" spans="1:39" ht="15">
      <c r="A38" s="245">
        <v>43831</v>
      </c>
      <c r="B38" s="241">
        <v>764453.19890847744</v>
      </c>
      <c r="C38" s="241">
        <v>764901.63539493189</v>
      </c>
      <c r="D38" s="241">
        <v>529470.07912140037</v>
      </c>
      <c r="E38" s="241">
        <v>529756.00177578151</v>
      </c>
      <c r="F38" s="241">
        <v>386057.89863285131</v>
      </c>
      <c r="G38" s="241">
        <v>386216.74455195194</v>
      </c>
      <c r="H38" s="241">
        <v>68767.018979285247</v>
      </c>
      <c r="I38" s="241">
        <v>68957.634082206016</v>
      </c>
      <c r="J38" s="241">
        <v>8080.6143669487337</v>
      </c>
      <c r="K38" s="241">
        <v>1854420.1653199433</v>
      </c>
      <c r="L38" s="249">
        <f t="shared" si="38"/>
        <v>2020</v>
      </c>
      <c r="M38" s="294">
        <v>975.79700000000003</v>
      </c>
      <c r="N38" s="251">
        <f t="shared" si="39"/>
        <v>1855395.9623199434</v>
      </c>
      <c r="O38" s="277">
        <v>-26393.902309682333</v>
      </c>
      <c r="P38" s="277">
        <v>-21812.032273033394</v>
      </c>
      <c r="Q38" s="251">
        <f t="shared" si="11"/>
        <v>1903601.896902659</v>
      </c>
      <c r="R38" s="246"/>
      <c r="S38" s="249">
        <v>2032</v>
      </c>
      <c r="T38" s="238">
        <f t="shared" ca="1" si="34"/>
        <v>0</v>
      </c>
      <c r="U38" s="238">
        <f t="shared" ca="1" si="35"/>
        <v>0</v>
      </c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76">
        <v>2021</v>
      </c>
      <c r="AK38" s="276" t="str">
        <f t="shared" si="37"/>
        <v>Residential</v>
      </c>
      <c r="AL38" s="275">
        <v>7456188.5956388731</v>
      </c>
      <c r="AM38" s="248">
        <f>SUM(B50:B61)-AL38</f>
        <v>0</v>
      </c>
    </row>
    <row r="39" spans="1:39" ht="15">
      <c r="A39" s="245">
        <v>43862</v>
      </c>
      <c r="B39" s="241">
        <v>655703.3730241002</v>
      </c>
      <c r="C39" s="241">
        <v>656539.065557478</v>
      </c>
      <c r="D39" s="241">
        <v>490671.34108611022</v>
      </c>
      <c r="E39" s="241">
        <v>491205.96858989145</v>
      </c>
      <c r="F39" s="241">
        <v>395044.21981830895</v>
      </c>
      <c r="G39" s="241">
        <v>395341.2350981874</v>
      </c>
      <c r="H39" s="241">
        <v>93072.687406520985</v>
      </c>
      <c r="I39" s="241">
        <v>93429.105742375134</v>
      </c>
      <c r="J39" s="241">
        <v>8225.2349143795727</v>
      </c>
      <c r="K39" s="241">
        <v>1733969.3240369654</v>
      </c>
      <c r="L39" s="249">
        <f t="shared" si="38"/>
        <v>2020</v>
      </c>
      <c r="M39" s="294">
        <v>1099.9570000000001</v>
      </c>
      <c r="N39" s="251">
        <f t="shared" si="39"/>
        <v>1735069.2810369653</v>
      </c>
      <c r="O39" s="277">
        <v>-23305.40670970003</v>
      </c>
      <c r="P39" s="277">
        <v>-19760.763873843593</v>
      </c>
      <c r="Q39" s="251">
        <f t="shared" si="11"/>
        <v>1778135.4516205089</v>
      </c>
      <c r="R39" s="246"/>
      <c r="S39" s="249">
        <v>2033</v>
      </c>
      <c r="T39" s="238">
        <f t="shared" ref="T39:U39" ca="1" si="42">SUM(OFFSET(O$13,12*($S39-2018)+1,0,12,1))</f>
        <v>0</v>
      </c>
      <c r="U39" s="238">
        <f t="shared" ca="1" si="42"/>
        <v>0</v>
      </c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76">
        <v>2021</v>
      </c>
      <c r="AK39" s="276" t="str">
        <f>AK34</f>
        <v>Commercial</v>
      </c>
      <c r="AL39" s="275">
        <v>6131826.3394117337</v>
      </c>
      <c r="AM39" s="248">
        <f>SUM(D50:D61)-AL39</f>
        <v>0</v>
      </c>
    </row>
    <row r="40" spans="1:39" ht="15">
      <c r="A40" s="245">
        <v>43891</v>
      </c>
      <c r="B40" s="241">
        <v>529160.19733931636</v>
      </c>
      <c r="C40" s="241">
        <v>530274.43293905293</v>
      </c>
      <c r="D40" s="241">
        <v>495787.79745456757</v>
      </c>
      <c r="E40" s="241">
        <v>496652.11073983286</v>
      </c>
      <c r="F40" s="241">
        <v>404159.46774408699</v>
      </c>
      <c r="G40" s="241">
        <v>404639.64179145661</v>
      </c>
      <c r="H40" s="241">
        <v>103922.32031815773</v>
      </c>
      <c r="I40" s="241">
        <v>104498.52917500124</v>
      </c>
      <c r="J40" s="241">
        <v>8062.1736233740676</v>
      </c>
      <c r="K40" s="241">
        <v>1626699.1891448859</v>
      </c>
      <c r="L40" s="249">
        <f t="shared" si="38"/>
        <v>2020</v>
      </c>
      <c r="M40" s="294">
        <v>987.31399999999996</v>
      </c>
      <c r="N40" s="251">
        <f t="shared" si="39"/>
        <v>1627686.5031448859</v>
      </c>
      <c r="O40" s="277">
        <v>-20505.670260177947</v>
      </c>
      <c r="P40" s="277">
        <v>-22073.345151763529</v>
      </c>
      <c r="Q40" s="251">
        <f t="shared" si="11"/>
        <v>1670265.5185568274</v>
      </c>
      <c r="R40" s="246"/>
      <c r="S40" s="249"/>
      <c r="T40" s="248">
        <f ca="1">SUM(T23:T39)-SUM(O2:O1193)</f>
        <v>0</v>
      </c>
      <c r="U40" s="248">
        <f ca="1">SUM(U23:U39)-SUM(P2:P1193)</f>
        <v>0</v>
      </c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76">
        <v>2021</v>
      </c>
      <c r="AK40" s="276" t="str">
        <f t="shared" si="37"/>
        <v>Industrial</v>
      </c>
      <c r="AL40" s="275">
        <v>4777179.1981387222</v>
      </c>
      <c r="AM40" s="248">
        <f>SUM(F50:F61)-AL40</f>
        <v>0</v>
      </c>
    </row>
    <row r="41" spans="1:39" ht="15">
      <c r="A41" s="245">
        <v>43922</v>
      </c>
      <c r="B41" s="241">
        <v>468347.25498192047</v>
      </c>
      <c r="C41" s="241">
        <v>469386.43225216935</v>
      </c>
      <c r="D41" s="241">
        <v>486095.72689126531</v>
      </c>
      <c r="E41" s="241">
        <v>487232.59996591666</v>
      </c>
      <c r="F41" s="241">
        <v>397587.03904475307</v>
      </c>
      <c r="G41" s="241">
        <v>398218.63519733713</v>
      </c>
      <c r="H41" s="241">
        <v>103358.12806126021</v>
      </c>
      <c r="I41" s="241">
        <v>104116.0434443611</v>
      </c>
      <c r="J41" s="241">
        <v>8263.7029649561337</v>
      </c>
      <c r="K41" s="241">
        <v>1544957.3081848961</v>
      </c>
      <c r="L41" s="249">
        <f t="shared" si="38"/>
        <v>2020</v>
      </c>
      <c r="M41" s="294">
        <v>954.58</v>
      </c>
      <c r="N41" s="251">
        <f t="shared" si="39"/>
        <v>1545911.8881848962</v>
      </c>
      <c r="O41" s="277">
        <v>-15415.657481600687</v>
      </c>
      <c r="P41" s="277">
        <v>-21657.503407073003</v>
      </c>
      <c r="Q41" s="251">
        <f t="shared" si="11"/>
        <v>1582985.0490735699</v>
      </c>
      <c r="R41" s="246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76">
        <v>2021</v>
      </c>
      <c r="AK41" s="276" t="str">
        <f t="shared" si="37"/>
        <v>OPA</v>
      </c>
      <c r="AL41" s="275">
        <v>1120929.7200804772</v>
      </c>
      <c r="AM41" s="248">
        <f>SUM(H50:H61)-AL41</f>
        <v>0</v>
      </c>
    </row>
    <row r="42" spans="1:39" ht="15">
      <c r="A42" s="245">
        <v>43952</v>
      </c>
      <c r="B42" s="241">
        <v>466656.01921566337</v>
      </c>
      <c r="C42" s="241">
        <v>468025.38041385281</v>
      </c>
      <c r="D42" s="241">
        <v>505794.58789449837</v>
      </c>
      <c r="E42" s="241">
        <v>507354.28805242293</v>
      </c>
      <c r="F42" s="241">
        <v>407553.04887707182</v>
      </c>
      <c r="G42" s="241">
        <v>408419.54896480771</v>
      </c>
      <c r="H42" s="241">
        <v>109736.60822671962</v>
      </c>
      <c r="I42" s="241">
        <v>110776.40833200264</v>
      </c>
      <c r="J42" s="241">
        <v>8089.4144712672887</v>
      </c>
      <c r="K42" s="241">
        <v>1581033.703764451</v>
      </c>
      <c r="L42" s="249">
        <f t="shared" si="38"/>
        <v>2020</v>
      </c>
      <c r="M42" s="294">
        <v>881.63199999999995</v>
      </c>
      <c r="N42" s="251">
        <f t="shared" si="39"/>
        <v>1581915.335764451</v>
      </c>
      <c r="O42" s="277">
        <v>-16606.055125558367</v>
      </c>
      <c r="P42" s="277">
        <v>-24011.19915668308</v>
      </c>
      <c r="Q42" s="251">
        <f t="shared" si="11"/>
        <v>1622532.5900466924</v>
      </c>
      <c r="R42" s="246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76">
        <v>2021</v>
      </c>
      <c r="AK42" s="276" t="str">
        <f t="shared" si="37"/>
        <v>Other</v>
      </c>
      <c r="AL42" s="275">
        <v>90458.752999999997</v>
      </c>
      <c r="AM42" s="248">
        <f>SUM(J50:J61)-AL42</f>
        <v>0</v>
      </c>
    </row>
    <row r="43" spans="1:39" ht="15">
      <c r="A43" s="245">
        <v>43983</v>
      </c>
      <c r="B43" s="241">
        <v>650583.99541151186</v>
      </c>
      <c r="C43" s="241">
        <v>652524.81409538235</v>
      </c>
      <c r="D43" s="241">
        <v>575001.46406081528</v>
      </c>
      <c r="E43" s="241">
        <v>576852.78739904938</v>
      </c>
      <c r="F43" s="241">
        <v>411598.05786206515</v>
      </c>
      <c r="G43" s="241">
        <v>412626.57082775078</v>
      </c>
      <c r="H43" s="241">
        <v>100628.76815625763</v>
      </c>
      <c r="I43" s="241">
        <v>101862.98371508039</v>
      </c>
      <c r="J43" s="241">
        <v>8217.0925050727292</v>
      </c>
      <c r="K43" s="241">
        <v>1843020.8278402418</v>
      </c>
      <c r="L43" s="249">
        <f t="shared" si="38"/>
        <v>2020</v>
      </c>
      <c r="M43" s="294">
        <v>791.90300000000002</v>
      </c>
      <c r="N43" s="251">
        <f t="shared" si="39"/>
        <v>1843812.7308402418</v>
      </c>
      <c r="O43" s="277">
        <v>-21427.770370793238</v>
      </c>
      <c r="P43" s="277">
        <v>-23674.973885470295</v>
      </c>
      <c r="Q43" s="251">
        <f t="shared" si="11"/>
        <v>1888915.4750965054</v>
      </c>
      <c r="R43" s="246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76">
        <v>2022</v>
      </c>
      <c r="AK43" s="276" t="str">
        <f t="shared" si="37"/>
        <v>Residential</v>
      </c>
      <c r="AL43" s="275">
        <v>7594500.4831683934</v>
      </c>
      <c r="AM43" s="248">
        <f>SUM(B62:B73)-AL43</f>
        <v>0</v>
      </c>
    </row>
    <row r="44" spans="1:39" ht="15">
      <c r="A44" s="245">
        <v>44013</v>
      </c>
      <c r="B44" s="241">
        <v>739125.17765019683</v>
      </c>
      <c r="C44" s="241">
        <v>742032.71201321366</v>
      </c>
      <c r="D44" s="241">
        <v>622819.79950332118</v>
      </c>
      <c r="E44" s="241">
        <v>625054.13039491046</v>
      </c>
      <c r="F44" s="241">
        <v>437909.30268314085</v>
      </c>
      <c r="G44" s="241">
        <v>439150.59762291267</v>
      </c>
      <c r="H44" s="241">
        <v>121010.1410486119</v>
      </c>
      <c r="I44" s="241">
        <v>122499.69497633811</v>
      </c>
      <c r="J44" s="241">
        <v>8077.7688737539456</v>
      </c>
      <c r="K44" s="241">
        <v>2036094.3957922081</v>
      </c>
      <c r="L44" s="249">
        <f t="shared" si="38"/>
        <v>2020</v>
      </c>
      <c r="M44" s="294">
        <v>863.97699999999998</v>
      </c>
      <c r="N44" s="251">
        <f t="shared" si="39"/>
        <v>2036958.3727922081</v>
      </c>
      <c r="O44" s="277">
        <v>-25529.720151175585</v>
      </c>
      <c r="P44" s="277">
        <v>-24401.260857236754</v>
      </c>
      <c r="Q44" s="251">
        <f t="shared" si="11"/>
        <v>2086889.3538006204</v>
      </c>
      <c r="R44" s="246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76">
        <v>2022</v>
      </c>
      <c r="AK44" s="276" t="str">
        <f>AK39</f>
        <v>Commercial</v>
      </c>
      <c r="AL44" s="275">
        <v>6174095.9763200032</v>
      </c>
      <c r="AM44" s="248">
        <f>SUM(D62:D73)-AL44</f>
        <v>0</v>
      </c>
    </row>
    <row r="45" spans="1:39" ht="15">
      <c r="A45" s="245">
        <v>44044</v>
      </c>
      <c r="B45" s="241">
        <v>713992.22010162775</v>
      </c>
      <c r="C45" s="241">
        <v>717015.06132431084</v>
      </c>
      <c r="D45" s="241">
        <v>609678.79057649465</v>
      </c>
      <c r="E45" s="241">
        <v>612220.12781883974</v>
      </c>
      <c r="F45" s="241">
        <v>438716.04784550372</v>
      </c>
      <c r="G45" s="241">
        <v>440127.90186902875</v>
      </c>
      <c r="H45" s="241">
        <v>115886.32147037613</v>
      </c>
      <c r="I45" s="241">
        <v>117580.54629860618</v>
      </c>
      <c r="J45" s="241">
        <v>8079.1139094272403</v>
      </c>
      <c r="K45" s="241">
        <v>1991138.8540914461</v>
      </c>
      <c r="L45" s="249">
        <f t="shared" si="38"/>
        <v>2020</v>
      </c>
      <c r="M45" s="294">
        <v>892.95299999999997</v>
      </c>
      <c r="N45" s="251">
        <f t="shared" si="39"/>
        <v>1992031.8070914461</v>
      </c>
      <c r="O45" s="277">
        <v>-23325.45027384178</v>
      </c>
      <c r="P45" s="277">
        <v>-24464.724518448911</v>
      </c>
      <c r="Q45" s="251">
        <f t="shared" si="11"/>
        <v>2039821.9818837368</v>
      </c>
      <c r="R45" s="246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76">
        <v>2022</v>
      </c>
      <c r="AK45" s="276" t="str">
        <f t="shared" si="37"/>
        <v>Industrial</v>
      </c>
      <c r="AL45" s="275">
        <v>4703900.216260409</v>
      </c>
      <c r="AM45" s="248">
        <f>SUM(F62:F73)-AL45</f>
        <v>0</v>
      </c>
    </row>
    <row r="46" spans="1:39" ht="15">
      <c r="A46" s="245">
        <v>44075</v>
      </c>
      <c r="B46" s="241">
        <v>555070.70657272241</v>
      </c>
      <c r="C46" s="241">
        <v>557763.58548056625</v>
      </c>
      <c r="D46" s="241">
        <v>554611.82108885352</v>
      </c>
      <c r="E46" s="241">
        <v>557318.52616988611</v>
      </c>
      <c r="F46" s="241">
        <v>425259.71890565444</v>
      </c>
      <c r="G46" s="241">
        <v>426763.44395067258</v>
      </c>
      <c r="H46" s="241">
        <v>102627.90562388091</v>
      </c>
      <c r="I46" s="241">
        <v>104432.37567790264</v>
      </c>
      <c r="J46" s="241">
        <v>8129.7055988277243</v>
      </c>
      <c r="K46" s="241">
        <v>1737118.0304894117</v>
      </c>
      <c r="L46" s="249">
        <f t="shared" si="38"/>
        <v>2020</v>
      </c>
      <c r="M46" s="294">
        <v>891.76700000000005</v>
      </c>
      <c r="N46" s="251">
        <f t="shared" si="39"/>
        <v>1738009.7974894117</v>
      </c>
      <c r="O46" s="277">
        <v>-18459.63006304505</v>
      </c>
      <c r="P46" s="277">
        <v>-23011.703441623868</v>
      </c>
      <c r="Q46" s="251">
        <f t="shared" si="11"/>
        <v>1779481.1309940806</v>
      </c>
      <c r="R46" s="246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76">
        <v>2022</v>
      </c>
      <c r="AK46" s="276" t="str">
        <f t="shared" si="37"/>
        <v>OPA</v>
      </c>
      <c r="AL46" s="275">
        <v>1133380.8472050736</v>
      </c>
      <c r="AM46" s="248">
        <f>SUM(H62:H73)-AL46</f>
        <v>0</v>
      </c>
    </row>
    <row r="47" spans="1:39" ht="15">
      <c r="A47" s="245">
        <v>44105</v>
      </c>
      <c r="B47" s="241">
        <v>477141.34042039042</v>
      </c>
      <c r="C47" s="241">
        <v>479719.25167311326</v>
      </c>
      <c r="D47" s="241">
        <v>504942.6239090708</v>
      </c>
      <c r="E47" s="241">
        <v>507820.23717857146</v>
      </c>
      <c r="F47" s="241">
        <v>402045.8439066963</v>
      </c>
      <c r="G47" s="241">
        <v>403644.51794530777</v>
      </c>
      <c r="H47" s="241">
        <v>108985.29051667152</v>
      </c>
      <c r="I47" s="241">
        <v>110903.69936300529</v>
      </c>
      <c r="J47" s="241">
        <v>8107.0796309316911</v>
      </c>
      <c r="K47" s="241">
        <v>1584614.655884529</v>
      </c>
      <c r="L47" s="249">
        <f t="shared" si="38"/>
        <v>2020</v>
      </c>
      <c r="M47" s="294">
        <v>901</v>
      </c>
      <c r="N47" s="251">
        <f t="shared" si="39"/>
        <v>1585515.655884529</v>
      </c>
      <c r="O47" s="277">
        <v>-15274.411328253056</v>
      </c>
      <c r="P47" s="277">
        <v>-22002.013988204009</v>
      </c>
      <c r="Q47" s="251">
        <f t="shared" si="11"/>
        <v>1622792.0812009862</v>
      </c>
      <c r="R47" s="246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76">
        <v>2022</v>
      </c>
      <c r="AK47" s="276" t="str">
        <f t="shared" si="37"/>
        <v>Other</v>
      </c>
      <c r="AL47" s="275">
        <v>70195.771899999992</v>
      </c>
      <c r="AM47" s="248">
        <f>SUM(J62:J73)-AL47</f>
        <v>0</v>
      </c>
    </row>
    <row r="48" spans="1:39" ht="15">
      <c r="A48" s="245">
        <v>44136</v>
      </c>
      <c r="B48" s="241">
        <v>546585.16613452183</v>
      </c>
      <c r="C48" s="241">
        <v>550012.37888082338</v>
      </c>
      <c r="D48" s="241">
        <v>493355.31414430006</v>
      </c>
      <c r="E48" s="241">
        <v>496401.20954634511</v>
      </c>
      <c r="F48" s="241">
        <v>390137.30946732289</v>
      </c>
      <c r="G48" s="241">
        <v>391829.47357957013</v>
      </c>
      <c r="H48" s="241">
        <v>109363.89023921304</v>
      </c>
      <c r="I48" s="241">
        <v>111394.48717390976</v>
      </c>
      <c r="J48" s="241">
        <v>8103.8033293167809</v>
      </c>
      <c r="K48" s="241">
        <v>1633511.2076138423</v>
      </c>
      <c r="L48" s="249">
        <f t="shared" si="38"/>
        <v>2020</v>
      </c>
      <c r="M48" s="294">
        <v>804.01400000000001</v>
      </c>
      <c r="N48" s="251">
        <f t="shared" si="39"/>
        <v>1634315.2216138423</v>
      </c>
      <c r="O48" s="277">
        <v>-18244.267645354681</v>
      </c>
      <c r="P48" s="277">
        <v>-21212.20263160142</v>
      </c>
      <c r="Q48" s="251">
        <f t="shared" si="11"/>
        <v>1673771.6918907983</v>
      </c>
      <c r="R48" s="246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>
        <v>2023</v>
      </c>
      <c r="AK48" s="249" t="s">
        <v>25</v>
      </c>
      <c r="AL48" s="249">
        <v>7526913.5978738945</v>
      </c>
    </row>
    <row r="49" spans="1:38" ht="15">
      <c r="A49" s="245">
        <v>44166</v>
      </c>
      <c r="B49" s="241">
        <v>711625.19526858232</v>
      </c>
      <c r="C49" s="241">
        <v>716810.27331712982</v>
      </c>
      <c r="D49" s="241">
        <v>511150.45741221268</v>
      </c>
      <c r="E49" s="241">
        <v>514579.40057598485</v>
      </c>
      <c r="F49" s="241">
        <v>404142.84766726947</v>
      </c>
      <c r="G49" s="241">
        <v>406047.8160915873</v>
      </c>
      <c r="H49" s="241">
        <v>98548.5792144726</v>
      </c>
      <c r="I49" s="241">
        <v>100834.54132365403</v>
      </c>
      <c r="J49" s="241">
        <v>8203.7275115816246</v>
      </c>
      <c r="K49" s="241">
        <v>1829975.7417163171</v>
      </c>
      <c r="L49" s="249">
        <f t="shared" si="38"/>
        <v>2020</v>
      </c>
      <c r="M49" s="294">
        <v>820.28599999999994</v>
      </c>
      <c r="N49" s="251">
        <f t="shared" si="39"/>
        <v>1830796.0277163172</v>
      </c>
      <c r="O49" s="277">
        <v>-26154.253125613726</v>
      </c>
      <c r="P49" s="277">
        <v>-21752.793562086401</v>
      </c>
      <c r="Q49" s="251">
        <f t="shared" si="11"/>
        <v>1878703.0744040173</v>
      </c>
      <c r="R49" s="246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>
        <v>2023</v>
      </c>
      <c r="AK49" s="249" t="s">
        <v>26</v>
      </c>
      <c r="AL49" s="249">
        <v>6211901.2295690728</v>
      </c>
    </row>
    <row r="50" spans="1:38" ht="15">
      <c r="A50" s="245">
        <v>44197</v>
      </c>
      <c r="B50" s="277">
        <v>723808.90603758581</v>
      </c>
      <c r="C50" s="249"/>
      <c r="D50" s="277">
        <v>484963.78438747022</v>
      </c>
      <c r="E50" s="249"/>
      <c r="F50" s="277">
        <v>380577.90982770221</v>
      </c>
      <c r="G50" s="249"/>
      <c r="H50" s="277">
        <v>86366.74874360711</v>
      </c>
      <c r="I50" s="249"/>
      <c r="J50" s="277">
        <v>7512.9709999999995</v>
      </c>
      <c r="K50" s="251">
        <f>SUM(B50,D50,F50,H50,J50)+SUM(B50,D50,F50,H50,J50)*SUMIFS($U$2:$U$17,$S$2:$S$17,YEAR($A50))</f>
        <v>1776733.299508719</v>
      </c>
      <c r="L50" s="249">
        <f t="shared" si="38"/>
        <v>2021</v>
      </c>
      <c r="M50" s="294">
        <v>993.68700000000001</v>
      </c>
      <c r="N50" s="251">
        <f t="shared" si="39"/>
        <v>1777726.9865087189</v>
      </c>
      <c r="O50" s="277">
        <v>-26425.198237398206</v>
      </c>
      <c r="P50" s="277">
        <v>-21763.480691752105</v>
      </c>
      <c r="Q50" s="251">
        <f t="shared" si="11"/>
        <v>1825915.6654378693</v>
      </c>
      <c r="R50" s="246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>
        <v>2023</v>
      </c>
      <c r="AK50" s="249" t="s">
        <v>27</v>
      </c>
      <c r="AL50" s="249">
        <v>4606756.9604624771</v>
      </c>
    </row>
    <row r="51" spans="1:38" ht="15">
      <c r="A51" s="245">
        <v>44228</v>
      </c>
      <c r="B51" s="277">
        <v>682556.3717066471</v>
      </c>
      <c r="C51" s="249"/>
      <c r="D51" s="277">
        <v>481519.65833592584</v>
      </c>
      <c r="E51" s="249"/>
      <c r="F51" s="277">
        <v>368592.30394059466</v>
      </c>
      <c r="G51" s="249"/>
      <c r="H51" s="277">
        <v>86937.054483542655</v>
      </c>
      <c r="I51" s="249"/>
      <c r="J51" s="277">
        <v>7494.866</v>
      </c>
      <c r="K51" s="251">
        <f t="shared" ref="K51:K61" si="43">SUM(B51,D51,F51,H51,J51)+SUM(B51,D51,F51,H51,J51)*SUMIFS($U$2:$U$17,$S$2:$S$17,YEAR($A51))</f>
        <v>1717485.2243371881</v>
      </c>
      <c r="L51" s="249">
        <f t="shared" si="38"/>
        <v>2021</v>
      </c>
      <c r="M51" s="294">
        <v>1059.5619999999999</v>
      </c>
      <c r="N51" s="251">
        <f t="shared" si="39"/>
        <v>1718544.786337188</v>
      </c>
      <c r="O51" s="277">
        <v>-23324.19338470657</v>
      </c>
      <c r="P51" s="277">
        <v>-19757.235811842645</v>
      </c>
      <c r="Q51" s="251">
        <f t="shared" si="11"/>
        <v>1761626.2155337371</v>
      </c>
      <c r="R51" s="246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>
        <v>2023</v>
      </c>
      <c r="AK51" s="249" t="s">
        <v>154</v>
      </c>
      <c r="AL51" s="249">
        <v>1062319.306723512</v>
      </c>
    </row>
    <row r="52" spans="1:38" ht="15">
      <c r="A52" s="245">
        <v>44256</v>
      </c>
      <c r="B52" s="277">
        <v>578761.96787375887</v>
      </c>
      <c r="C52" s="249"/>
      <c r="D52" s="277">
        <v>484463.99503800535</v>
      </c>
      <c r="E52" s="249"/>
      <c r="F52" s="277">
        <v>388336.64336634893</v>
      </c>
      <c r="G52" s="249"/>
      <c r="H52" s="277">
        <v>89594.547673883266</v>
      </c>
      <c r="I52" s="249"/>
      <c r="J52" s="277">
        <v>7552.8670000000002</v>
      </c>
      <c r="K52" s="251">
        <f t="shared" si="43"/>
        <v>1634740.4349953723</v>
      </c>
      <c r="L52" s="249">
        <f t="shared" si="38"/>
        <v>2021</v>
      </c>
      <c r="M52" s="294">
        <v>995.67899999999997</v>
      </c>
      <c r="N52" s="251">
        <f t="shared" si="39"/>
        <v>1635736.1139953723</v>
      </c>
      <c r="O52" s="277">
        <v>-20522.292166065148</v>
      </c>
      <c r="P52" s="277">
        <v>-22069.409864129513</v>
      </c>
      <c r="Q52" s="251">
        <f t="shared" si="11"/>
        <v>1678327.816025567</v>
      </c>
      <c r="R52" s="246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>
        <v>2023</v>
      </c>
      <c r="AK52" s="249" t="s">
        <v>155</v>
      </c>
      <c r="AL52" s="249">
        <v>96633.753548999986</v>
      </c>
    </row>
    <row r="53" spans="1:38" ht="15">
      <c r="A53" s="245">
        <v>44287</v>
      </c>
      <c r="B53" s="277">
        <v>471872.74372922932</v>
      </c>
      <c r="C53" s="249"/>
      <c r="D53" s="277">
        <v>458534.05174723879</v>
      </c>
      <c r="E53" s="249"/>
      <c r="F53" s="277">
        <v>388133.44515370129</v>
      </c>
      <c r="G53" s="249"/>
      <c r="H53" s="277">
        <v>86553.723533938944</v>
      </c>
      <c r="I53" s="249"/>
      <c r="J53" s="277">
        <v>7657.6959999999999</v>
      </c>
      <c r="K53" s="251">
        <f t="shared" si="43"/>
        <v>1491229.6248057229</v>
      </c>
      <c r="L53" s="249">
        <f t="shared" si="38"/>
        <v>2021</v>
      </c>
      <c r="M53" s="294">
        <v>879.73299999999995</v>
      </c>
      <c r="N53" s="251">
        <f t="shared" si="39"/>
        <v>1492109.3578057229</v>
      </c>
      <c r="O53" s="277">
        <v>-15435.918839874366</v>
      </c>
      <c r="P53" s="277">
        <v>-21743.349549186638</v>
      </c>
      <c r="Q53" s="251">
        <f t="shared" si="11"/>
        <v>1529288.626194784</v>
      </c>
      <c r="R53" s="246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</row>
    <row r="54" spans="1:38" ht="15">
      <c r="A54" s="245">
        <v>44317</v>
      </c>
      <c r="B54" s="277">
        <v>484236.75840822991</v>
      </c>
      <c r="C54" s="249"/>
      <c r="D54" s="277">
        <v>474476.66773730313</v>
      </c>
      <c r="E54" s="249"/>
      <c r="F54" s="277">
        <v>388806.70939586381</v>
      </c>
      <c r="G54" s="249"/>
      <c r="H54" s="277">
        <v>90087.336612710162</v>
      </c>
      <c r="I54" s="249"/>
      <c r="J54" s="277">
        <v>7505.84</v>
      </c>
      <c r="K54" s="251">
        <f t="shared" si="43"/>
        <v>1525388.9576282613</v>
      </c>
      <c r="L54" s="249">
        <f t="shared" si="38"/>
        <v>2021</v>
      </c>
      <c r="M54" s="294">
        <v>794</v>
      </c>
      <c r="N54" s="251">
        <f t="shared" si="39"/>
        <v>1526182.9576282613</v>
      </c>
      <c r="O54" s="277">
        <v>-16624.857102815287</v>
      </c>
      <c r="P54" s="277">
        <v>-23919.794901496996</v>
      </c>
      <c r="Q54" s="251">
        <f t="shared" si="11"/>
        <v>1566727.6096325736</v>
      </c>
      <c r="R54" s="246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</row>
    <row r="55" spans="1:38" ht="15">
      <c r="A55" s="245">
        <v>44348</v>
      </c>
      <c r="B55" s="277">
        <v>647857.4064225558</v>
      </c>
      <c r="C55" s="249"/>
      <c r="D55" s="277">
        <v>549062.17260254023</v>
      </c>
      <c r="E55" s="249"/>
      <c r="F55" s="277">
        <v>401456.72026647511</v>
      </c>
      <c r="G55" s="249"/>
      <c r="H55" s="277">
        <v>90777.840544915263</v>
      </c>
      <c r="I55" s="249"/>
      <c r="J55" s="277">
        <v>7257.4160000000002</v>
      </c>
      <c r="K55" s="251">
        <f t="shared" si="43"/>
        <v>1790646.7493602352</v>
      </c>
      <c r="L55" s="249">
        <f t="shared" si="38"/>
        <v>2021</v>
      </c>
      <c r="M55" s="294">
        <v>758.27599999999995</v>
      </c>
      <c r="N55" s="251">
        <f t="shared" si="39"/>
        <v>1791405.0253602352</v>
      </c>
      <c r="O55" s="277">
        <v>-21445.14691881508</v>
      </c>
      <c r="P55" s="277">
        <v>-23670.881777782401</v>
      </c>
      <c r="Q55" s="251">
        <f t="shared" si="11"/>
        <v>1836521.0540568328</v>
      </c>
      <c r="R55" s="246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</row>
    <row r="56" spans="1:38" ht="15">
      <c r="A56" s="245">
        <v>44378</v>
      </c>
      <c r="B56" s="277">
        <v>753354.40039973636</v>
      </c>
      <c r="C56" s="249"/>
      <c r="D56" s="277">
        <v>606653.15910372604</v>
      </c>
      <c r="E56" s="249"/>
      <c r="F56" s="277">
        <v>450979.52347605122</v>
      </c>
      <c r="G56" s="249"/>
      <c r="H56" s="277">
        <v>108453.0635792885</v>
      </c>
      <c r="I56" s="249"/>
      <c r="J56" s="277">
        <v>7991.8630000000003</v>
      </c>
      <c r="K56" s="251">
        <f t="shared" si="43"/>
        <v>2034500.3254988454</v>
      </c>
      <c r="L56" s="249">
        <f t="shared" si="38"/>
        <v>2021</v>
      </c>
      <c r="M56" s="294">
        <v>809.31100000000004</v>
      </c>
      <c r="N56" s="251">
        <f t="shared" si="39"/>
        <v>2035309.6364988454</v>
      </c>
      <c r="O56" s="277">
        <v>-25556.56231433227</v>
      </c>
      <c r="P56" s="277">
        <v>-24442.273474946072</v>
      </c>
      <c r="Q56" s="251">
        <f t="shared" si="11"/>
        <v>2085308.4722881238</v>
      </c>
      <c r="R56" s="246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</row>
    <row r="57" spans="1:38" ht="15">
      <c r="A57" s="245">
        <v>44409</v>
      </c>
      <c r="B57" s="277">
        <v>751742.34576069168</v>
      </c>
      <c r="C57" s="249"/>
      <c r="D57" s="277">
        <v>600174.77700128511</v>
      </c>
      <c r="E57" s="249"/>
      <c r="F57" s="277">
        <v>435809.86777183233</v>
      </c>
      <c r="G57" s="249"/>
      <c r="H57" s="277">
        <v>109389.15501982014</v>
      </c>
      <c r="I57" s="249"/>
      <c r="J57" s="277">
        <v>7860.893</v>
      </c>
      <c r="K57" s="251">
        <f t="shared" si="43"/>
        <v>2010797.9870544672</v>
      </c>
      <c r="L57" s="249">
        <f t="shared" si="38"/>
        <v>2021</v>
      </c>
      <c r="M57" s="294">
        <v>831.30700000000002</v>
      </c>
      <c r="N57" s="251">
        <f t="shared" si="39"/>
        <v>2011629.2940544672</v>
      </c>
      <c r="O57" s="277">
        <v>-23332.887392043031</v>
      </c>
      <c r="P57" s="277">
        <v>-24415.424950381774</v>
      </c>
      <c r="Q57" s="251">
        <f t="shared" si="11"/>
        <v>2059377.6063968921</v>
      </c>
      <c r="R57" s="246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</row>
    <row r="58" spans="1:38" ht="15">
      <c r="A58" s="245">
        <v>44440</v>
      </c>
      <c r="B58" s="277">
        <v>597720.67325350805</v>
      </c>
      <c r="C58" s="249"/>
      <c r="D58" s="277">
        <v>544965.31489492848</v>
      </c>
      <c r="E58" s="249"/>
      <c r="F58" s="277">
        <v>412270.61066739389</v>
      </c>
      <c r="G58" s="249"/>
      <c r="H58" s="277">
        <v>102002.11916246619</v>
      </c>
      <c r="I58" s="249"/>
      <c r="J58" s="277">
        <v>7419.5039999999999</v>
      </c>
      <c r="K58" s="251">
        <f t="shared" si="43"/>
        <v>1756833.9726510744</v>
      </c>
      <c r="L58" s="249">
        <f t="shared" si="38"/>
        <v>2021</v>
      </c>
      <c r="M58" s="294">
        <v>843.34199999999998</v>
      </c>
      <c r="N58" s="251">
        <f t="shared" si="39"/>
        <v>1757677.3146510744</v>
      </c>
      <c r="O58" s="277">
        <v>-18474.031644843508</v>
      </c>
      <c r="P58" s="277">
        <v>-23051.861508857186</v>
      </c>
      <c r="Q58" s="251">
        <f t="shared" si="11"/>
        <v>1799203.2078047751</v>
      </c>
      <c r="R58" s="246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</row>
    <row r="59" spans="1:38" ht="15">
      <c r="A59" s="245">
        <v>44470</v>
      </c>
      <c r="B59" s="277">
        <v>494850.8340344184</v>
      </c>
      <c r="C59" s="249"/>
      <c r="D59" s="277">
        <v>485076.74566701357</v>
      </c>
      <c r="E59" s="249"/>
      <c r="F59" s="277">
        <v>385504.33602326969</v>
      </c>
      <c r="G59" s="249"/>
      <c r="H59" s="277">
        <v>92200.78246225456</v>
      </c>
      <c r="I59" s="249"/>
      <c r="J59" s="277">
        <v>7301.52</v>
      </c>
      <c r="K59" s="251">
        <f t="shared" si="43"/>
        <v>1546310.9095184056</v>
      </c>
      <c r="L59" s="249">
        <f t="shared" si="38"/>
        <v>2021</v>
      </c>
      <c r="M59" s="294">
        <v>842.48900000000003</v>
      </c>
      <c r="N59" s="251">
        <f t="shared" si="39"/>
        <v>1547153.3985184056</v>
      </c>
      <c r="O59" s="277">
        <v>-15288.379724274282</v>
      </c>
      <c r="P59" s="277">
        <v>-21953.255445224844</v>
      </c>
      <c r="Q59" s="251">
        <f t="shared" si="11"/>
        <v>1584395.0336879049</v>
      </c>
      <c r="R59" s="246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</row>
    <row r="60" spans="1:38" ht="15">
      <c r="A60" s="245">
        <v>44501</v>
      </c>
      <c r="B60" s="277">
        <v>540952.80127568659</v>
      </c>
      <c r="C60" s="249"/>
      <c r="D60" s="277">
        <v>459030.13776731514</v>
      </c>
      <c r="E60" s="249"/>
      <c r="F60" s="277">
        <v>391488.03044826235</v>
      </c>
      <c r="G60" s="249"/>
      <c r="H60" s="277">
        <v>86661.913267576019</v>
      </c>
      <c r="I60" s="249"/>
      <c r="J60" s="277">
        <v>7070.5459999999994</v>
      </c>
      <c r="K60" s="251">
        <f t="shared" si="43"/>
        <v>1567706.0691409449</v>
      </c>
      <c r="L60" s="249">
        <f t="shared" si="38"/>
        <v>2021</v>
      </c>
      <c r="M60" s="294">
        <v>794.08399999999995</v>
      </c>
      <c r="N60" s="251">
        <f t="shared" si="39"/>
        <v>1568500.1531409449</v>
      </c>
      <c r="O60" s="277">
        <v>-18259.091124081409</v>
      </c>
      <c r="P60" s="277">
        <v>-21208.414135940544</v>
      </c>
      <c r="Q60" s="251">
        <f t="shared" si="11"/>
        <v>1607967.658400967</v>
      </c>
      <c r="R60" s="246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</row>
    <row r="61" spans="1:38" ht="15">
      <c r="A61" s="245">
        <v>44531</v>
      </c>
      <c r="B61" s="277">
        <v>728473.38673682383</v>
      </c>
      <c r="C61" s="249"/>
      <c r="D61" s="277">
        <v>502905.87512898212</v>
      </c>
      <c r="E61" s="249"/>
      <c r="F61" s="277">
        <v>385223.09780122625</v>
      </c>
      <c r="G61" s="249"/>
      <c r="H61" s="277">
        <v>91905.434996474592</v>
      </c>
      <c r="I61" s="249"/>
      <c r="J61" s="277">
        <v>7832.7710000000006</v>
      </c>
      <c r="K61" s="251">
        <f t="shared" si="43"/>
        <v>1811682.8101804678</v>
      </c>
      <c r="L61" s="249">
        <f t="shared" si="38"/>
        <v>2021</v>
      </c>
      <c r="M61" s="294">
        <v>845.61300000000006</v>
      </c>
      <c r="N61" s="251">
        <f t="shared" si="39"/>
        <v>1812528.4231804677</v>
      </c>
      <c r="O61" s="277">
        <v>-26204.740900892164</v>
      </c>
      <c r="P61" s="277">
        <v>-21839.134635527545</v>
      </c>
      <c r="Q61" s="251">
        <f t="shared" si="11"/>
        <v>1860572.2987168874</v>
      </c>
      <c r="R61" s="246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</row>
    <row r="62" spans="1:38" ht="15">
      <c r="A62" s="245">
        <v>44562</v>
      </c>
      <c r="B62" s="277">
        <v>740437.31138018658</v>
      </c>
      <c r="C62" s="249"/>
      <c r="D62" s="277">
        <v>515253.15138233779</v>
      </c>
      <c r="E62" s="249"/>
      <c r="F62" s="277">
        <v>391215.14348483382</v>
      </c>
      <c r="G62" s="249"/>
      <c r="H62" s="277">
        <v>95493.011676158698</v>
      </c>
      <c r="I62" s="249"/>
      <c r="J62" s="277">
        <v>7913.7089999999998</v>
      </c>
      <c r="K62" s="251">
        <f t="shared" ref="K62:K85" si="44">SUM(B62,D62,F62,H62,J62)+SUM(B62,D62,F62,H62,J62)*SUMIFS($U$2:$U$17,$S$2:$S$17,YEAR($A62))</f>
        <v>1847541.6933983932</v>
      </c>
      <c r="L62" s="249">
        <f t="shared" si="38"/>
        <v>2022</v>
      </c>
      <c r="M62" s="294">
        <v>979.84900000000005</v>
      </c>
      <c r="N62" s="251">
        <f t="shared" si="39"/>
        <v>1848521.5423983932</v>
      </c>
      <c r="O62" s="277">
        <v>-26426.876476288231</v>
      </c>
      <c r="P62" s="277">
        <v>-21767.325339934348</v>
      </c>
      <c r="Q62" s="251">
        <f t="shared" si="11"/>
        <v>1896715.7442146158</v>
      </c>
      <c r="R62" s="246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</row>
    <row r="63" spans="1:38" ht="15">
      <c r="A63" s="245">
        <v>44593</v>
      </c>
      <c r="B63" s="277">
        <v>693594.80534908851</v>
      </c>
      <c r="C63" s="249"/>
      <c r="D63" s="277">
        <v>477347.75975768594</v>
      </c>
      <c r="E63" s="249"/>
      <c r="F63" s="277">
        <v>349210.05133729702</v>
      </c>
      <c r="G63" s="249"/>
      <c r="H63" s="277">
        <v>85439.162623097</v>
      </c>
      <c r="I63" s="249"/>
      <c r="J63" s="277">
        <v>7353.9040000000005</v>
      </c>
      <c r="K63" s="251">
        <f t="shared" si="44"/>
        <v>1702544.370404677</v>
      </c>
      <c r="L63" s="249">
        <f t="shared" si="38"/>
        <v>2022</v>
      </c>
      <c r="M63" s="294">
        <v>1046.19</v>
      </c>
      <c r="N63" s="251">
        <f t="shared" si="39"/>
        <v>1703590.5604046769</v>
      </c>
      <c r="O63" s="277">
        <v>-23325.67370708715</v>
      </c>
      <c r="P63" s="277">
        <v>-19760.723911100144</v>
      </c>
      <c r="Q63" s="251">
        <f t="shared" si="11"/>
        <v>1746676.9580228641</v>
      </c>
      <c r="R63" s="246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</row>
    <row r="64" spans="1:38" ht="15">
      <c r="A64" s="245">
        <v>44621</v>
      </c>
      <c r="B64" s="277">
        <v>557926.20901802066</v>
      </c>
      <c r="C64" s="249"/>
      <c r="D64" s="277">
        <v>471064.75937008223</v>
      </c>
      <c r="E64" s="249"/>
      <c r="F64" s="277">
        <v>385997.45177128084</v>
      </c>
      <c r="G64" s="249"/>
      <c r="H64" s="277">
        <v>92360.4703492954</v>
      </c>
      <c r="I64" s="249"/>
      <c r="J64" s="277">
        <v>7253.6909999999998</v>
      </c>
      <c r="K64" s="251">
        <f t="shared" si="44"/>
        <v>1598738.3367085198</v>
      </c>
      <c r="L64" s="249">
        <f t="shared" si="38"/>
        <v>2022</v>
      </c>
      <c r="M64" s="294">
        <v>991.26900000000001</v>
      </c>
      <c r="N64" s="251">
        <f t="shared" si="39"/>
        <v>1599729.6057085199</v>
      </c>
      <c r="O64" s="277">
        <v>-20523.596561469261</v>
      </c>
      <c r="P64" s="277">
        <v>-22073.294137016353</v>
      </c>
      <c r="Q64" s="251">
        <f t="shared" si="11"/>
        <v>1642326.4964070057</v>
      </c>
      <c r="R64" s="246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</row>
    <row r="65" spans="1:38" ht="15">
      <c r="A65" s="245">
        <v>44652</v>
      </c>
      <c r="B65" s="277">
        <v>495528.1672367159</v>
      </c>
      <c r="C65" s="249"/>
      <c r="D65" s="277">
        <v>480723.30823161645</v>
      </c>
      <c r="E65" s="249"/>
      <c r="F65" s="277">
        <v>371946.17981453822</v>
      </c>
      <c r="G65" s="249"/>
      <c r="H65" s="277">
        <v>87419.328422683931</v>
      </c>
      <c r="I65" s="249"/>
      <c r="J65" s="277">
        <v>837.96720000000005</v>
      </c>
      <c r="K65" s="251">
        <f t="shared" si="44"/>
        <v>1516249.6268030463</v>
      </c>
      <c r="L65" s="249">
        <f t="shared" si="38"/>
        <v>2022</v>
      </c>
      <c r="M65" s="294">
        <v>852.89400000000001</v>
      </c>
      <c r="N65" s="251">
        <f t="shared" si="39"/>
        <v>1517102.5208030464</v>
      </c>
      <c r="O65" s="277">
        <v>-15433.069394459662</v>
      </c>
      <c r="P65" s="277">
        <v>-21702.289616412476</v>
      </c>
      <c r="Q65" s="251">
        <f t="shared" si="11"/>
        <v>1554237.8798139186</v>
      </c>
      <c r="R65" s="246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</row>
    <row r="66" spans="1:38" ht="15">
      <c r="A66" s="245">
        <v>44682</v>
      </c>
      <c r="B66" s="277">
        <v>470525.57493384235</v>
      </c>
      <c r="C66" s="249"/>
      <c r="D66" s="277">
        <v>444609.94669480313</v>
      </c>
      <c r="E66" s="249"/>
      <c r="F66" s="277">
        <v>232025.04096810246</v>
      </c>
      <c r="G66" s="249"/>
      <c r="H66" s="277">
        <v>61447.325434169645</v>
      </c>
      <c r="I66" s="249"/>
      <c r="J66" s="277">
        <v>6660.7579000000005</v>
      </c>
      <c r="K66" s="251">
        <f t="shared" si="44"/>
        <v>1282776.4836597021</v>
      </c>
      <c r="L66" s="249">
        <f t="shared" si="38"/>
        <v>2022</v>
      </c>
      <c r="M66" s="294">
        <v>768.99599999999998</v>
      </c>
      <c r="N66" s="251">
        <f t="shared" si="39"/>
        <v>1283545.4796597022</v>
      </c>
      <c r="O66" s="277">
        <v>-16623.29101133428</v>
      </c>
      <c r="P66" s="277">
        <v>-23967.447035008856</v>
      </c>
      <c r="Q66" s="251">
        <f t="shared" si="11"/>
        <v>1324136.2177060454</v>
      </c>
      <c r="R66" s="246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</row>
    <row r="67" spans="1:38" ht="15">
      <c r="A67" s="245">
        <v>44713</v>
      </c>
      <c r="B67" s="277">
        <v>720769.14043442823</v>
      </c>
      <c r="C67" s="249"/>
      <c r="D67" s="277">
        <v>439961.89516159415</v>
      </c>
      <c r="E67" s="249"/>
      <c r="F67" s="277">
        <v>561507.83692100749</v>
      </c>
      <c r="G67" s="249"/>
      <c r="H67" s="277">
        <v>87693.555822741662</v>
      </c>
      <c r="I67" s="249"/>
      <c r="J67" s="277">
        <v>3836.8666000000003</v>
      </c>
      <c r="K67" s="251">
        <f t="shared" si="44"/>
        <v>1914523.6784665938</v>
      </c>
      <c r="L67" s="249">
        <f t="shared" si="38"/>
        <v>2022</v>
      </c>
      <c r="M67" s="294">
        <v>649.41899999999998</v>
      </c>
      <c r="N67" s="251">
        <f t="shared" si="39"/>
        <v>1915173.0974665938</v>
      </c>
      <c r="O67" s="277">
        <v>-21446.494205231294</v>
      </c>
      <c r="P67" s="277">
        <v>-23674.832318985547</v>
      </c>
      <c r="Q67" s="251">
        <f t="shared" si="11"/>
        <v>1960294.4239908108</v>
      </c>
      <c r="R67" s="246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</row>
    <row r="68" spans="1:38" ht="15">
      <c r="A68" s="245">
        <v>44743</v>
      </c>
      <c r="B68" s="277">
        <v>764060.01947217656</v>
      </c>
      <c r="C68" s="249"/>
      <c r="D68" s="277">
        <v>685065.1973387273</v>
      </c>
      <c r="E68" s="249"/>
      <c r="F68" s="277">
        <v>351777.40817719186</v>
      </c>
      <c r="G68" s="249"/>
      <c r="H68" s="277">
        <v>102259.65625013615</v>
      </c>
      <c r="I68" s="249"/>
      <c r="J68" s="277">
        <v>3444.1666</v>
      </c>
      <c r="K68" s="251">
        <f t="shared" si="44"/>
        <v>2012517.9095749268</v>
      </c>
      <c r="L68" s="249">
        <f t="shared" si="38"/>
        <v>2022</v>
      </c>
      <c r="M68" s="294">
        <v>694.18100000000004</v>
      </c>
      <c r="N68" s="251">
        <f t="shared" si="39"/>
        <v>2013212.0905749269</v>
      </c>
      <c r="O68" s="277">
        <v>-25551.978279633666</v>
      </c>
      <c r="P68" s="277">
        <v>-24401.114079798626</v>
      </c>
      <c r="Q68" s="251">
        <f t="shared" si="11"/>
        <v>2063165.1829343592</v>
      </c>
      <c r="R68" s="246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</row>
    <row r="69" spans="1:38" ht="15">
      <c r="A69" s="245">
        <v>44774</v>
      </c>
      <c r="B69" s="277">
        <v>784270.37587634078</v>
      </c>
      <c r="C69" s="249"/>
      <c r="D69" s="277">
        <v>574571.08960690792</v>
      </c>
      <c r="E69" s="249"/>
      <c r="F69" s="277">
        <v>480624.61625442409</v>
      </c>
      <c r="G69" s="249"/>
      <c r="H69" s="277">
        <v>128080.75692034561</v>
      </c>
      <c r="I69" s="249"/>
      <c r="J69" s="277">
        <v>10264.345599999999</v>
      </c>
      <c r="K69" s="251">
        <f t="shared" si="44"/>
        <v>2087678.0494422081</v>
      </c>
      <c r="L69" s="249">
        <f t="shared" si="38"/>
        <v>2022</v>
      </c>
      <c r="M69" s="294">
        <v>772.53099999999995</v>
      </c>
      <c r="N69" s="251">
        <f t="shared" si="39"/>
        <v>2088450.5804422081</v>
      </c>
      <c r="O69" s="277">
        <v>-23345.822767513127</v>
      </c>
      <c r="P69" s="277">
        <v>-24464.578895183298</v>
      </c>
      <c r="Q69" s="251">
        <f t="shared" si="11"/>
        <v>2136260.9821049045</v>
      </c>
      <c r="R69" s="246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</row>
    <row r="70" spans="1:38" ht="15">
      <c r="A70" s="245">
        <v>44805</v>
      </c>
      <c r="B70" s="277">
        <v>612168.80157984071</v>
      </c>
      <c r="C70" s="249"/>
      <c r="D70" s="277">
        <v>625816.66875396867</v>
      </c>
      <c r="E70" s="249"/>
      <c r="F70" s="277">
        <v>427529.78557523573</v>
      </c>
      <c r="G70" s="249"/>
      <c r="H70" s="277">
        <v>106591.95470575785</v>
      </c>
      <c r="I70" s="249"/>
      <c r="J70" s="277">
        <v>10042.969700000001</v>
      </c>
      <c r="K70" s="251">
        <f t="shared" si="44"/>
        <v>1881148.1307546883</v>
      </c>
      <c r="L70" s="249">
        <f t="shared" si="38"/>
        <v>2022</v>
      </c>
      <c r="M70" s="294">
        <v>766.99599999999998</v>
      </c>
      <c r="N70" s="251">
        <f t="shared" si="39"/>
        <v>1881915.1267546883</v>
      </c>
      <c r="O70" s="277">
        <v>-18475.192693239907</v>
      </c>
      <c r="P70" s="277">
        <v>-23055.760276682147</v>
      </c>
      <c r="Q70" s="251">
        <f t="shared" si="11"/>
        <v>1923446.0797246106</v>
      </c>
      <c r="R70" s="246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</row>
    <row r="71" spans="1:38" ht="15">
      <c r="A71" s="245">
        <v>44835</v>
      </c>
      <c r="B71" s="277">
        <v>460787.2342698992</v>
      </c>
      <c r="C71" s="249"/>
      <c r="D71" s="277">
        <v>473462.1295351811</v>
      </c>
      <c r="E71" s="249"/>
      <c r="F71" s="277">
        <v>371294.46793453663</v>
      </c>
      <c r="G71" s="249"/>
      <c r="H71" s="277">
        <v>83489.9583526715</v>
      </c>
      <c r="I71" s="249"/>
      <c r="J71" s="277">
        <v>5172.2425000000003</v>
      </c>
      <c r="K71" s="251">
        <f t="shared" si="44"/>
        <v>1471653.7927429955</v>
      </c>
      <c r="L71" s="249">
        <f t="shared" si="38"/>
        <v>2022</v>
      </c>
      <c r="M71" s="294">
        <v>755.07100000000003</v>
      </c>
      <c r="N71" s="251">
        <f t="shared" si="39"/>
        <v>1472408.8637429955</v>
      </c>
      <c r="O71" s="277">
        <v>-15289.352474758043</v>
      </c>
      <c r="P71" s="277">
        <v>-21957.1143492505</v>
      </c>
      <c r="Q71" s="251">
        <f t="shared" si="11"/>
        <v>1509655.3305670039</v>
      </c>
      <c r="R71" s="246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</row>
    <row r="72" spans="1:38" ht="15">
      <c r="A72" s="245">
        <v>44866</v>
      </c>
      <c r="B72" s="277">
        <v>526022.84368318948</v>
      </c>
      <c r="C72" s="249"/>
      <c r="D72" s="277">
        <v>454630.29759574006</v>
      </c>
      <c r="E72" s="249"/>
      <c r="F72" s="277">
        <v>367464.04483044602</v>
      </c>
      <c r="G72" s="249"/>
      <c r="H72" s="277">
        <v>84639.850640846998</v>
      </c>
      <c r="I72" s="249"/>
      <c r="J72" s="277">
        <v>8277.8997999999992</v>
      </c>
      <c r="K72" s="251">
        <f t="shared" si="44"/>
        <v>1521084.0293856773</v>
      </c>
      <c r="L72" s="249">
        <f t="shared" si="38"/>
        <v>2022</v>
      </c>
      <c r="M72" s="294">
        <v>716.529</v>
      </c>
      <c r="N72" s="251">
        <f t="shared" si="39"/>
        <v>1521800.5583856774</v>
      </c>
      <c r="O72" s="277">
        <v>-18260.253841796504</v>
      </c>
      <c r="P72" s="277">
        <v>-21212.159037870537</v>
      </c>
      <c r="Q72" s="251">
        <f t="shared" si="11"/>
        <v>1561272.9712653444</v>
      </c>
      <c r="R72" s="246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</row>
    <row r="73" spans="1:38" ht="15">
      <c r="A73" s="245">
        <v>44896</v>
      </c>
      <c r="B73" s="277">
        <v>768409.99993466353</v>
      </c>
      <c r="C73" s="249"/>
      <c r="D73" s="277">
        <v>531589.77289135789</v>
      </c>
      <c r="E73" s="249"/>
      <c r="F73" s="277">
        <v>413308.18919151434</v>
      </c>
      <c r="G73" s="249"/>
      <c r="H73" s="277">
        <v>118465.81600716904</v>
      </c>
      <c r="I73" s="249"/>
      <c r="J73" s="277">
        <v>-862.74799999999982</v>
      </c>
      <c r="K73" s="251">
        <f t="shared" si="44"/>
        <v>1932617.6322024225</v>
      </c>
      <c r="L73" s="249">
        <f t="shared" si="38"/>
        <v>2022</v>
      </c>
      <c r="M73" s="294">
        <v>785.98199999999997</v>
      </c>
      <c r="N73" s="251">
        <f t="shared" si="39"/>
        <v>1933403.6142024226</v>
      </c>
      <c r="O73" s="277">
        <v>-26191.698337330163</v>
      </c>
      <c r="P73" s="277">
        <v>-21797.877749825402</v>
      </c>
      <c r="Q73" s="251">
        <f t="shared" si="11"/>
        <v>1981393.1902895782</v>
      </c>
      <c r="R73" s="246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</row>
    <row r="74" spans="1:38" ht="15">
      <c r="A74" s="245">
        <v>44927</v>
      </c>
      <c r="B74" s="277">
        <v>768303.15508669033</v>
      </c>
      <c r="C74" s="249"/>
      <c r="D74" s="277">
        <v>497876.62347137154</v>
      </c>
      <c r="E74" s="249"/>
      <c r="F74" s="277">
        <v>375778.54634431622</v>
      </c>
      <c r="G74" s="249"/>
      <c r="H74" s="277">
        <v>74059.394724613827</v>
      </c>
      <c r="I74" s="249"/>
      <c r="J74" s="277">
        <v>6456.5844999999999</v>
      </c>
      <c r="K74" s="251">
        <f t="shared" si="44"/>
        <v>1818157.2761219887</v>
      </c>
      <c r="L74" s="249">
        <f t="shared" si="38"/>
        <v>2023</v>
      </c>
      <c r="M74" s="247">
        <v>0</v>
      </c>
      <c r="N74" s="251">
        <f>K74+M74</f>
        <v>1818157.2761219887</v>
      </c>
      <c r="O74" s="277">
        <v>0</v>
      </c>
      <c r="P74" s="277">
        <v>0</v>
      </c>
      <c r="Q74" s="251">
        <f>K74+M74-O74-P74</f>
        <v>1818157.2761219887</v>
      </c>
      <c r="R74" s="246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</row>
    <row r="75" spans="1:38" ht="15">
      <c r="A75" s="245">
        <v>44958</v>
      </c>
      <c r="B75" s="277">
        <v>653381.33281349787</v>
      </c>
      <c r="C75" s="249"/>
      <c r="D75" s="277">
        <v>454754.73153466819</v>
      </c>
      <c r="E75" s="249"/>
      <c r="F75" s="277">
        <v>342765.87174902158</v>
      </c>
      <c r="G75" s="249"/>
      <c r="H75" s="277">
        <v>85791.457231643872</v>
      </c>
      <c r="I75" s="249"/>
      <c r="J75" s="277">
        <v>12802.7752</v>
      </c>
      <c r="K75" s="251">
        <f t="shared" si="44"/>
        <v>1635570.2528530343</v>
      </c>
      <c r="L75" s="249">
        <f t="shared" si="38"/>
        <v>2023</v>
      </c>
      <c r="M75" s="247">
        <v>0</v>
      </c>
      <c r="N75" s="251">
        <f t="shared" si="39"/>
        <v>1635570.2528530343</v>
      </c>
      <c r="O75" s="277">
        <v>0</v>
      </c>
      <c r="P75" s="277">
        <v>0</v>
      </c>
      <c r="Q75" s="251">
        <f t="shared" si="11"/>
        <v>1635570.2528530343</v>
      </c>
      <c r="R75" s="246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</row>
    <row r="76" spans="1:38" ht="15">
      <c r="A76" s="245">
        <v>44986</v>
      </c>
      <c r="B76" s="277">
        <v>590138.38358079956</v>
      </c>
      <c r="C76" s="249"/>
      <c r="D76" s="277">
        <v>505751.39196121827</v>
      </c>
      <c r="E76" s="249"/>
      <c r="F76" s="277">
        <v>423593.36588844575</v>
      </c>
      <c r="G76" s="249"/>
      <c r="H76" s="277">
        <v>94414.0042099493</v>
      </c>
      <c r="I76" s="249"/>
      <c r="J76" s="277">
        <v>13170.320800000001</v>
      </c>
      <c r="K76" s="251">
        <f t="shared" si="44"/>
        <v>1717450.6149450834</v>
      </c>
      <c r="L76" s="249">
        <f t="shared" si="38"/>
        <v>2023</v>
      </c>
      <c r="M76" s="247">
        <v>0</v>
      </c>
      <c r="N76" s="251">
        <f t="shared" si="39"/>
        <v>1717450.6149450834</v>
      </c>
      <c r="O76" s="277">
        <v>0</v>
      </c>
      <c r="P76" s="277">
        <v>0</v>
      </c>
      <c r="Q76" s="251">
        <f t="shared" si="11"/>
        <v>1717450.6149450834</v>
      </c>
      <c r="R76" s="246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</row>
    <row r="77" spans="1:38" ht="15">
      <c r="A77" s="245">
        <v>45017</v>
      </c>
      <c r="B77" s="277">
        <v>490475.67032571585</v>
      </c>
      <c r="C77" s="249"/>
      <c r="D77" s="277">
        <v>479789.31190731475</v>
      </c>
      <c r="E77" s="249"/>
      <c r="F77" s="277">
        <v>391856.9482333489</v>
      </c>
      <c r="G77" s="249"/>
      <c r="H77" s="277">
        <v>95328.724623857779</v>
      </c>
      <c r="I77" s="249"/>
      <c r="J77" s="277">
        <v>9181.1876999999986</v>
      </c>
      <c r="K77" s="251">
        <f t="shared" si="44"/>
        <v>1548102.8366996609</v>
      </c>
      <c r="L77" s="249">
        <f t="shared" si="38"/>
        <v>2023</v>
      </c>
      <c r="M77" s="247">
        <v>0</v>
      </c>
      <c r="N77" s="251">
        <f t="shared" si="39"/>
        <v>1548102.8366996609</v>
      </c>
      <c r="O77" s="277">
        <v>0</v>
      </c>
      <c r="P77" s="277">
        <v>0</v>
      </c>
      <c r="Q77" s="251">
        <f t="shared" si="11"/>
        <v>1548102.8366996609</v>
      </c>
      <c r="R77" s="246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</row>
    <row r="78" spans="1:38" ht="15">
      <c r="A78" s="245">
        <v>45047</v>
      </c>
      <c r="B78" s="277">
        <v>539028.48744812631</v>
      </c>
      <c r="C78" s="249"/>
      <c r="D78" s="277">
        <v>432136.71297717467</v>
      </c>
      <c r="E78" s="249"/>
      <c r="F78" s="277">
        <v>353019.18853949802</v>
      </c>
      <c r="G78" s="249"/>
      <c r="H78" s="277">
        <v>88826.080843134332</v>
      </c>
      <c r="I78" s="249"/>
      <c r="J78" s="277">
        <v>7383.0612999999994</v>
      </c>
      <c r="K78" s="251">
        <f t="shared" si="44"/>
        <v>1499295.9995704498</v>
      </c>
      <c r="L78" s="249">
        <f t="shared" si="38"/>
        <v>2023</v>
      </c>
      <c r="M78" s="247">
        <v>0</v>
      </c>
      <c r="N78" s="251">
        <f t="shared" si="39"/>
        <v>1499295.9995704498</v>
      </c>
      <c r="O78" s="277">
        <v>0</v>
      </c>
      <c r="P78" s="277">
        <v>0</v>
      </c>
      <c r="Q78" s="251">
        <f t="shared" ref="Q78:Q141" si="45">K78+M78-O78-P78</f>
        <v>1499295.9995704498</v>
      </c>
      <c r="R78" s="246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</row>
    <row r="79" spans="1:38" ht="15">
      <c r="A79" s="245">
        <v>45078</v>
      </c>
      <c r="B79" s="277">
        <v>590007.02817432105</v>
      </c>
      <c r="C79" s="249"/>
      <c r="D79" s="277">
        <v>586963.21933155286</v>
      </c>
      <c r="E79" s="249"/>
      <c r="F79" s="277">
        <v>572047.17008280265</v>
      </c>
      <c r="G79" s="249"/>
      <c r="H79" s="277">
        <v>129501.37585098759</v>
      </c>
      <c r="I79" s="249"/>
      <c r="J79" s="277">
        <v>4241.3499999999995</v>
      </c>
      <c r="K79" s="251">
        <f t="shared" si="44"/>
        <v>1987346.9495513169</v>
      </c>
      <c r="L79" s="249">
        <f t="shared" si="38"/>
        <v>2023</v>
      </c>
      <c r="M79" s="247">
        <v>0</v>
      </c>
      <c r="N79" s="251">
        <f t="shared" si="39"/>
        <v>1987346.9495513169</v>
      </c>
      <c r="O79" s="277">
        <v>0</v>
      </c>
      <c r="P79" s="277">
        <v>0</v>
      </c>
      <c r="Q79" s="251">
        <f t="shared" si="45"/>
        <v>1987346.9495513169</v>
      </c>
      <c r="R79" s="246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</row>
    <row r="80" spans="1:38" ht="15">
      <c r="A80" s="245">
        <v>45108</v>
      </c>
      <c r="B80" s="277">
        <v>755064.48719888437</v>
      </c>
      <c r="C80" s="249"/>
      <c r="D80" s="277">
        <v>685601.45468413434</v>
      </c>
      <c r="E80" s="249"/>
      <c r="F80" s="277">
        <v>393755.26464419713</v>
      </c>
      <c r="G80" s="249"/>
      <c r="H80" s="277">
        <v>82809.17869877773</v>
      </c>
      <c r="I80" s="249"/>
      <c r="J80" s="277">
        <v>8882.9940500000012</v>
      </c>
      <c r="K80" s="251">
        <f t="shared" si="44"/>
        <v>2033108.4456679195</v>
      </c>
      <c r="L80" s="249">
        <f t="shared" si="38"/>
        <v>2023</v>
      </c>
      <c r="M80" s="247">
        <v>0</v>
      </c>
      <c r="N80" s="251">
        <f t="shared" si="39"/>
        <v>2033108.4456679195</v>
      </c>
      <c r="O80" s="277">
        <v>0</v>
      </c>
      <c r="P80" s="277">
        <v>0</v>
      </c>
      <c r="Q80" s="251">
        <f t="shared" si="45"/>
        <v>2033108.4456679195</v>
      </c>
      <c r="R80" s="246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</row>
    <row r="81" spans="1:38" ht="15">
      <c r="A81" s="245">
        <v>45139</v>
      </c>
      <c r="B81" s="277">
        <v>769417.6787976257</v>
      </c>
      <c r="C81" s="249"/>
      <c r="D81" s="277">
        <v>496686.66861415212</v>
      </c>
      <c r="E81" s="249"/>
      <c r="F81" s="277">
        <v>337916.12607749976</v>
      </c>
      <c r="G81" s="249"/>
      <c r="H81" s="277">
        <v>90137.150344130365</v>
      </c>
      <c r="I81" s="249"/>
      <c r="J81" s="277">
        <v>8935.594360000001</v>
      </c>
      <c r="K81" s="251">
        <f t="shared" si="44"/>
        <v>1797699.5762161831</v>
      </c>
      <c r="L81" s="249">
        <f t="shared" si="38"/>
        <v>2023</v>
      </c>
      <c r="M81" s="247">
        <v>0</v>
      </c>
      <c r="N81" s="251">
        <f t="shared" si="39"/>
        <v>1797699.5762161831</v>
      </c>
      <c r="O81" s="277">
        <v>0</v>
      </c>
      <c r="P81" s="277">
        <v>0</v>
      </c>
      <c r="Q81" s="251">
        <f t="shared" si="45"/>
        <v>1797699.5762161831</v>
      </c>
      <c r="R81" s="246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</row>
    <row r="82" spans="1:38" ht="15">
      <c r="A82" s="245">
        <v>45170</v>
      </c>
      <c r="B82" s="277">
        <v>597504.44296805875</v>
      </c>
      <c r="C82" s="249"/>
      <c r="D82" s="277">
        <v>514605.81765058491</v>
      </c>
      <c r="E82" s="249"/>
      <c r="F82" s="277">
        <v>368131.55167511466</v>
      </c>
      <c r="G82" s="249"/>
      <c r="H82" s="277">
        <v>91501.22138144249</v>
      </c>
      <c r="I82" s="249"/>
      <c r="J82" s="277">
        <v>6967.7660999999998</v>
      </c>
      <c r="K82" s="251">
        <f t="shared" si="44"/>
        <v>1666407.7487985704</v>
      </c>
      <c r="L82" s="249">
        <f t="shared" si="38"/>
        <v>2023</v>
      </c>
      <c r="M82" s="247">
        <v>0</v>
      </c>
      <c r="N82" s="251">
        <f t="shared" si="39"/>
        <v>1666407.7487985704</v>
      </c>
      <c r="O82" s="277">
        <v>0</v>
      </c>
      <c r="P82" s="277">
        <v>0</v>
      </c>
      <c r="Q82" s="251">
        <f t="shared" si="45"/>
        <v>1666407.7487985704</v>
      </c>
      <c r="R82" s="246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</row>
    <row r="83" spans="1:38" ht="15">
      <c r="A83" s="245">
        <v>45200</v>
      </c>
      <c r="B83" s="277">
        <v>481530.58008506114</v>
      </c>
      <c r="C83" s="249"/>
      <c r="D83" s="277">
        <v>471084.60892169474</v>
      </c>
      <c r="E83" s="249"/>
      <c r="F83" s="277">
        <v>355701.3037712106</v>
      </c>
      <c r="G83" s="249"/>
      <c r="H83" s="277">
        <v>96469.365056970928</v>
      </c>
      <c r="I83" s="249"/>
      <c r="J83" s="277">
        <v>4648.0998920000002</v>
      </c>
      <c r="K83" s="251">
        <f t="shared" si="44"/>
        <v>1487727.624914231</v>
      </c>
      <c r="L83" s="249">
        <f t="shared" si="38"/>
        <v>2023</v>
      </c>
      <c r="M83" s="247">
        <v>0</v>
      </c>
      <c r="N83" s="251">
        <f t="shared" si="39"/>
        <v>1487727.624914231</v>
      </c>
      <c r="O83" s="277">
        <v>0</v>
      </c>
      <c r="P83" s="277">
        <v>0</v>
      </c>
      <c r="Q83" s="251">
        <f t="shared" si="45"/>
        <v>1487727.624914231</v>
      </c>
      <c r="R83" s="246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</row>
    <row r="84" spans="1:38" ht="15">
      <c r="A84" s="245">
        <v>45231</v>
      </c>
      <c r="B84" s="277">
        <v>570054.73235044267</v>
      </c>
      <c r="C84" s="249"/>
      <c r="D84" s="277">
        <v>517414.69729828701</v>
      </c>
      <c r="E84" s="249"/>
      <c r="F84" s="277">
        <v>355706.60135629389</v>
      </c>
      <c r="G84" s="249"/>
      <c r="H84" s="277">
        <v>83503.668659465737</v>
      </c>
      <c r="I84" s="249"/>
      <c r="J84" s="277">
        <v>7321.4524280000005</v>
      </c>
      <c r="K84" s="251">
        <f t="shared" si="44"/>
        <v>1619214.4925320442</v>
      </c>
      <c r="L84" s="249">
        <f t="shared" si="38"/>
        <v>2023</v>
      </c>
      <c r="M84" s="247">
        <v>0</v>
      </c>
      <c r="N84" s="251">
        <f t="shared" si="39"/>
        <v>1619214.4925320442</v>
      </c>
      <c r="O84" s="277">
        <v>0</v>
      </c>
      <c r="P84" s="277">
        <v>0</v>
      </c>
      <c r="Q84" s="251">
        <f t="shared" si="45"/>
        <v>1619214.4925320442</v>
      </c>
      <c r="R84" s="246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</row>
    <row r="85" spans="1:38" ht="15">
      <c r="A85" s="245">
        <v>45261</v>
      </c>
      <c r="B85" s="277">
        <v>722007.61904467014</v>
      </c>
      <c r="C85" s="249"/>
      <c r="D85" s="277">
        <v>569235.99121692055</v>
      </c>
      <c r="E85" s="249"/>
      <c r="F85" s="277">
        <v>336485.02210072789</v>
      </c>
      <c r="G85" s="249"/>
      <c r="H85" s="277">
        <v>49977.685098538059</v>
      </c>
      <c r="I85" s="249"/>
      <c r="J85" s="277">
        <v>9272.2171590000016</v>
      </c>
      <c r="K85" s="251">
        <f t="shared" si="44"/>
        <v>1780689.7264196109</v>
      </c>
      <c r="L85" s="249">
        <f t="shared" si="38"/>
        <v>2023</v>
      </c>
      <c r="M85" s="247">
        <v>0</v>
      </c>
      <c r="N85" s="251">
        <f t="shared" si="39"/>
        <v>1780689.7264196109</v>
      </c>
      <c r="O85" s="277">
        <v>0</v>
      </c>
      <c r="P85" s="277">
        <v>0</v>
      </c>
      <c r="Q85" s="251">
        <f t="shared" si="45"/>
        <v>1780689.7264196109</v>
      </c>
      <c r="R85" s="246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</row>
    <row r="86" spans="1:38" ht="15">
      <c r="A86" s="245">
        <v>45292</v>
      </c>
      <c r="B86" s="261">
        <v>730846.92495064926</v>
      </c>
      <c r="C86" s="262">
        <v>730846.92495064926</v>
      </c>
      <c r="D86" s="261">
        <v>540533.39200196066</v>
      </c>
      <c r="E86" s="262">
        <v>540533.39200196066</v>
      </c>
      <c r="F86" s="261">
        <v>315284.23612028215</v>
      </c>
      <c r="G86" s="262">
        <v>315284.23612028215</v>
      </c>
      <c r="H86" s="261">
        <v>78463.417209009887</v>
      </c>
      <c r="I86" s="262">
        <v>78463.417209009887</v>
      </c>
      <c r="J86" s="261">
        <v>4720.433341560075</v>
      </c>
      <c r="K86" s="261">
        <v>1762608.0213762354</v>
      </c>
      <c r="L86" s="249">
        <f t="shared" si="38"/>
        <v>2024</v>
      </c>
      <c r="M86" s="247">
        <v>990.33190792005587</v>
      </c>
      <c r="N86" s="251">
        <f t="shared" si="39"/>
        <v>1763598.3532841555</v>
      </c>
      <c r="O86" s="277">
        <v>0</v>
      </c>
      <c r="P86" s="277">
        <v>0</v>
      </c>
      <c r="Q86" s="251">
        <f t="shared" si="45"/>
        <v>1763598.3532841555</v>
      </c>
      <c r="R86" s="246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</row>
    <row r="87" spans="1:38" ht="15">
      <c r="A87" s="245">
        <v>45323</v>
      </c>
      <c r="B87" s="261">
        <v>739686.23085662967</v>
      </c>
      <c r="C87" s="262">
        <v>739686.23085662967</v>
      </c>
      <c r="D87" s="261">
        <v>511830.79278700374</v>
      </c>
      <c r="E87" s="262">
        <v>511830.79278700374</v>
      </c>
      <c r="F87" s="261">
        <v>294083.45013983588</v>
      </c>
      <c r="G87" s="262">
        <v>294083.45013983588</v>
      </c>
      <c r="H87" s="261">
        <v>106949.14931948093</v>
      </c>
      <c r="I87" s="262">
        <v>106949.14931948093</v>
      </c>
      <c r="J87" s="261">
        <v>9660.9058562267273</v>
      </c>
      <c r="K87" s="261">
        <v>1754545.8648832729</v>
      </c>
      <c r="L87" s="249">
        <f t="shared" si="38"/>
        <v>2024</v>
      </c>
      <c r="M87" s="247">
        <v>876.31498895870061</v>
      </c>
      <c r="N87" s="251">
        <f t="shared" si="39"/>
        <v>1755422.1798722316</v>
      </c>
      <c r="O87" s="277">
        <v>0</v>
      </c>
      <c r="P87" s="277">
        <v>0</v>
      </c>
      <c r="Q87" s="251">
        <f t="shared" si="45"/>
        <v>1755422.1798722316</v>
      </c>
      <c r="R87" s="246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</row>
    <row r="88" spans="1:38" ht="15">
      <c r="A88" s="245">
        <v>45352</v>
      </c>
      <c r="B88" s="261">
        <v>574087.97583389701</v>
      </c>
      <c r="C88" s="262">
        <v>574087.97583389701</v>
      </c>
      <c r="D88" s="261">
        <v>498984.14965088438</v>
      </c>
      <c r="E88" s="262">
        <v>498984.14965088438</v>
      </c>
      <c r="F88" s="261">
        <v>411425.31513406936</v>
      </c>
      <c r="G88" s="262">
        <v>411425.31513406936</v>
      </c>
      <c r="H88" s="261">
        <v>91527.013992008739</v>
      </c>
      <c r="I88" s="262">
        <v>91527.013992008739</v>
      </c>
      <c r="J88" s="261">
        <v>7466.5244806832452</v>
      </c>
      <c r="K88" s="261">
        <v>1671453.465756061</v>
      </c>
      <c r="L88" s="249">
        <f t="shared" si="38"/>
        <v>2024</v>
      </c>
      <c r="M88" s="247">
        <v>1017.1966192676078</v>
      </c>
      <c r="N88" s="251">
        <f t="shared" si="39"/>
        <v>1672470.6623753286</v>
      </c>
      <c r="O88" s="277">
        <v>0</v>
      </c>
      <c r="P88" s="277">
        <v>0</v>
      </c>
      <c r="Q88" s="251">
        <f t="shared" si="45"/>
        <v>1672470.6623753286</v>
      </c>
      <c r="R88" s="246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</row>
    <row r="89" spans="1:38" ht="15">
      <c r="A89" s="245">
        <v>45383</v>
      </c>
      <c r="B89" s="261">
        <v>497270.98500029149</v>
      </c>
      <c r="C89" s="262">
        <v>497270.98500029149</v>
      </c>
      <c r="D89" s="261">
        <v>470359.10486930405</v>
      </c>
      <c r="E89" s="262">
        <v>470359.10486930405</v>
      </c>
      <c r="F89" s="261">
        <v>390001.38956774172</v>
      </c>
      <c r="G89" s="262">
        <v>390001.38956774172</v>
      </c>
      <c r="H89" s="261">
        <v>88236.338598816626</v>
      </c>
      <c r="I89" s="262">
        <v>88236.338598816626</v>
      </c>
      <c r="J89" s="261">
        <v>7556.9251162607352</v>
      </c>
      <c r="K89" s="261">
        <v>1534162.0863236221</v>
      </c>
      <c r="L89" s="249">
        <f t="shared" si="38"/>
        <v>2024</v>
      </c>
      <c r="M89" s="247">
        <v>818.41057027935688</v>
      </c>
      <c r="N89" s="251">
        <f t="shared" si="39"/>
        <v>1534980.4968939016</v>
      </c>
      <c r="O89" s="277">
        <v>0</v>
      </c>
      <c r="P89" s="277">
        <v>0</v>
      </c>
      <c r="Q89" s="251">
        <f t="shared" si="45"/>
        <v>1534980.4968939016</v>
      </c>
      <c r="R89" s="246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  <c r="AH89" s="249"/>
      <c r="AI89" s="249"/>
      <c r="AJ89" s="249"/>
      <c r="AK89" s="249"/>
      <c r="AL89" s="249"/>
    </row>
    <row r="90" spans="1:38" ht="15">
      <c r="A90" s="245">
        <v>45413</v>
      </c>
      <c r="B90" s="261">
        <v>493904.97595347639</v>
      </c>
      <c r="C90" s="262">
        <v>493904.97595347639</v>
      </c>
      <c r="D90" s="261">
        <v>483622.68684063922</v>
      </c>
      <c r="E90" s="262">
        <v>483622.68684063922</v>
      </c>
      <c r="F90" s="261">
        <v>371473.42703201773</v>
      </c>
      <c r="G90" s="262">
        <v>371473.42703201773</v>
      </c>
      <c r="H90" s="261">
        <v>90585.70908786013</v>
      </c>
      <c r="I90" s="262">
        <v>90585.70908786013</v>
      </c>
      <c r="J90" s="261">
        <v>7454.6810661788049</v>
      </c>
      <c r="K90" s="261">
        <v>1527424.23464467</v>
      </c>
      <c r="L90" s="249">
        <f t="shared" si="38"/>
        <v>2024</v>
      </c>
      <c r="M90" s="247">
        <v>837.2790227473572</v>
      </c>
      <c r="N90" s="251">
        <f t="shared" si="39"/>
        <v>1528261.5136674175</v>
      </c>
      <c r="O90" s="277">
        <v>0</v>
      </c>
      <c r="P90" s="277">
        <v>0</v>
      </c>
      <c r="Q90" s="251">
        <f t="shared" si="45"/>
        <v>1528261.5136674175</v>
      </c>
      <c r="R90" s="246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</row>
    <row r="91" spans="1:38" ht="15">
      <c r="A91" s="245">
        <v>45444</v>
      </c>
      <c r="B91" s="261">
        <v>660984.66213102627</v>
      </c>
      <c r="C91" s="262">
        <v>660984.66213102627</v>
      </c>
      <c r="D91" s="261">
        <v>563784.54733172408</v>
      </c>
      <c r="E91" s="262">
        <v>563784.54733172408</v>
      </c>
      <c r="F91" s="261">
        <v>442888.9182536903</v>
      </c>
      <c r="G91" s="262">
        <v>442888.9182536903</v>
      </c>
      <c r="H91" s="261">
        <v>92569.770628368875</v>
      </c>
      <c r="I91" s="262">
        <v>92569.770628368875</v>
      </c>
      <c r="J91" s="261">
        <v>7290.7495011687342</v>
      </c>
      <c r="K91" s="261">
        <v>1865703.8206971909</v>
      </c>
      <c r="L91" s="249">
        <f t="shared" ref="L91:L154" si="46">YEAR(A91)</f>
        <v>2024</v>
      </c>
      <c r="M91" s="247">
        <v>766.1270889862617</v>
      </c>
      <c r="N91" s="251">
        <f t="shared" ref="N91:N154" si="47">K91+M91</f>
        <v>1866469.9477861773</v>
      </c>
      <c r="O91" s="277">
        <v>0</v>
      </c>
      <c r="P91" s="277">
        <v>0</v>
      </c>
      <c r="Q91" s="251">
        <f t="shared" si="45"/>
        <v>1866469.9477861773</v>
      </c>
      <c r="R91" s="246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49"/>
      <c r="AK91" s="249"/>
      <c r="AL91" s="249"/>
    </row>
    <row r="92" spans="1:38" ht="15">
      <c r="A92" s="245">
        <v>45474</v>
      </c>
      <c r="B92" s="261">
        <v>768812.86582704925</v>
      </c>
      <c r="C92" s="262">
        <v>768812.86582704925</v>
      </c>
      <c r="D92" s="261">
        <v>622975.54397630878</v>
      </c>
      <c r="E92" s="262">
        <v>622975.54397630878</v>
      </c>
      <c r="F92" s="261">
        <v>427400.95353488514</v>
      </c>
      <c r="G92" s="262">
        <v>427400.95353488514</v>
      </c>
      <c r="H92" s="261">
        <v>107670.40312204757</v>
      </c>
      <c r="I92" s="262">
        <v>107670.40312204757</v>
      </c>
      <c r="J92" s="261">
        <v>7407.1654507426683</v>
      </c>
      <c r="K92" s="261">
        <v>2041714.9259005256</v>
      </c>
      <c r="L92" s="249">
        <f t="shared" si="46"/>
        <v>2024</v>
      </c>
      <c r="M92" s="247">
        <v>875.37480736538657</v>
      </c>
      <c r="N92" s="251">
        <f t="shared" si="47"/>
        <v>2042590.3007078911</v>
      </c>
      <c r="O92" s="277">
        <v>0</v>
      </c>
      <c r="P92" s="277">
        <v>0</v>
      </c>
      <c r="Q92" s="251">
        <f t="shared" si="45"/>
        <v>2042590.3007078911</v>
      </c>
      <c r="R92" s="246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</row>
    <row r="93" spans="1:38" ht="15">
      <c r="A93" s="245">
        <v>45505</v>
      </c>
      <c r="B93" s="261">
        <v>762812.33271133143</v>
      </c>
      <c r="C93" s="262">
        <v>762812.33271133143</v>
      </c>
      <c r="D93" s="261">
        <v>605679.20153833705</v>
      </c>
      <c r="E93" s="262">
        <v>605679.20153833705</v>
      </c>
      <c r="F93" s="261">
        <v>460395.91119338723</v>
      </c>
      <c r="G93" s="262">
        <v>460395.91119338723</v>
      </c>
      <c r="H93" s="261">
        <v>106616.27816547788</v>
      </c>
      <c r="I93" s="262">
        <v>106616.27816547788</v>
      </c>
      <c r="J93" s="261">
        <v>7588.1501763648048</v>
      </c>
      <c r="K93" s="261">
        <v>2051030.0908587938</v>
      </c>
      <c r="L93" s="249">
        <f t="shared" si="46"/>
        <v>2024</v>
      </c>
      <c r="M93" s="247">
        <v>831.18834228371054</v>
      </c>
      <c r="N93" s="251">
        <f t="shared" si="47"/>
        <v>2051861.2792010775</v>
      </c>
      <c r="O93" s="277">
        <v>0</v>
      </c>
      <c r="P93" s="277">
        <v>0</v>
      </c>
      <c r="Q93" s="251">
        <f t="shared" si="45"/>
        <v>2051861.2792010775</v>
      </c>
      <c r="R93" s="246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</row>
    <row r="94" spans="1:38" ht="15">
      <c r="A94" s="245">
        <v>45536</v>
      </c>
      <c r="B94" s="261">
        <v>592708.63331918267</v>
      </c>
      <c r="C94" s="262">
        <v>592708.63331918267</v>
      </c>
      <c r="D94" s="261">
        <v>547286.30710549315</v>
      </c>
      <c r="E94" s="262">
        <v>547286.30710549315</v>
      </c>
      <c r="F94" s="261">
        <v>416303.10668721795</v>
      </c>
      <c r="G94" s="262">
        <v>416303.10668721795</v>
      </c>
      <c r="H94" s="261">
        <v>99011.880074489032</v>
      </c>
      <c r="I94" s="262">
        <v>99011.880074489032</v>
      </c>
      <c r="J94" s="261">
        <v>7708.1663861470979</v>
      </c>
      <c r="K94" s="261">
        <v>1755398.2894879181</v>
      </c>
      <c r="L94" s="249">
        <f t="shared" si="46"/>
        <v>2024</v>
      </c>
      <c r="M94" s="247">
        <v>893.75628803992424</v>
      </c>
      <c r="N94" s="251">
        <f t="shared" si="47"/>
        <v>1756292.0457759581</v>
      </c>
      <c r="O94" s="277">
        <v>0</v>
      </c>
      <c r="P94" s="277">
        <v>0</v>
      </c>
      <c r="Q94" s="251">
        <f t="shared" si="45"/>
        <v>1756292.0457759581</v>
      </c>
      <c r="R94" s="246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</row>
    <row r="95" spans="1:38" ht="15">
      <c r="A95" s="245">
        <v>45566</v>
      </c>
      <c r="B95" s="261">
        <v>487250.49637241173</v>
      </c>
      <c r="C95" s="262">
        <v>487250.49637241173</v>
      </c>
      <c r="D95" s="261">
        <v>496197.67043981806</v>
      </c>
      <c r="E95" s="262">
        <v>496197.67043981806</v>
      </c>
      <c r="F95" s="261">
        <v>401895.62877737242</v>
      </c>
      <c r="G95" s="262">
        <v>401895.62877737242</v>
      </c>
      <c r="H95" s="261">
        <v>98714.63846454068</v>
      </c>
      <c r="I95" s="262">
        <v>98714.63846454068</v>
      </c>
      <c r="J95" s="261">
        <v>7253.3743588670986</v>
      </c>
      <c r="K95" s="261">
        <v>1574153.7675982949</v>
      </c>
      <c r="L95" s="249">
        <f t="shared" si="46"/>
        <v>2024</v>
      </c>
      <c r="M95" s="247">
        <v>780.66467531625187</v>
      </c>
      <c r="N95" s="251">
        <f t="shared" si="47"/>
        <v>1574934.4322736112</v>
      </c>
      <c r="O95" s="277">
        <v>0</v>
      </c>
      <c r="P95" s="277">
        <v>0</v>
      </c>
      <c r="Q95" s="251">
        <f t="shared" si="45"/>
        <v>1574934.4322736112</v>
      </c>
      <c r="R95" s="246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</row>
    <row r="96" spans="1:38" ht="15">
      <c r="A96" s="245">
        <v>45597</v>
      </c>
      <c r="B96" s="261">
        <v>552048.96664850309</v>
      </c>
      <c r="C96" s="262">
        <v>552048.96664850309</v>
      </c>
      <c r="D96" s="261">
        <v>491649.89586147445</v>
      </c>
      <c r="E96" s="262">
        <v>491649.89586147445</v>
      </c>
      <c r="F96" s="261">
        <v>391853.13915838138</v>
      </c>
      <c r="G96" s="262">
        <v>391853.13915838138</v>
      </c>
      <c r="H96" s="261">
        <v>90505.829368668754</v>
      </c>
      <c r="I96" s="262">
        <v>90505.829368668754</v>
      </c>
      <c r="J96" s="261">
        <v>7266.7984466225116</v>
      </c>
      <c r="K96" s="261">
        <v>1618500.3892790813</v>
      </c>
      <c r="L96" s="249">
        <f t="shared" si="46"/>
        <v>2024</v>
      </c>
      <c r="M96" s="247">
        <v>764.27158468248172</v>
      </c>
      <c r="N96" s="251">
        <f t="shared" si="47"/>
        <v>1619264.6608637637</v>
      </c>
      <c r="O96" s="277">
        <v>0</v>
      </c>
      <c r="P96" s="277">
        <v>0</v>
      </c>
      <c r="Q96" s="251">
        <f t="shared" si="45"/>
        <v>1619264.6608637637</v>
      </c>
      <c r="R96" s="246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</row>
    <row r="97" spans="1:38" ht="15">
      <c r="A97" s="245">
        <v>45627</v>
      </c>
      <c r="B97" s="261">
        <v>751090.61140812701</v>
      </c>
      <c r="C97" s="262">
        <v>751090.61140812701</v>
      </c>
      <c r="D97" s="261">
        <v>521041.67430221866</v>
      </c>
      <c r="E97" s="262">
        <v>521041.67430221866</v>
      </c>
      <c r="F97" s="261">
        <v>403770.00174639764</v>
      </c>
      <c r="G97" s="262">
        <v>403770.00174639764</v>
      </c>
      <c r="H97" s="261">
        <v>90441.736851647787</v>
      </c>
      <c r="I97" s="262">
        <v>90441.736851647787</v>
      </c>
      <c r="J97" s="261">
        <v>7811.1985278455022</v>
      </c>
      <c r="K97" s="261">
        <v>1872709.0555957069</v>
      </c>
      <c r="L97" s="249">
        <f t="shared" si="46"/>
        <v>2024</v>
      </c>
      <c r="M97" s="247">
        <v>998.21097594067658</v>
      </c>
      <c r="N97" s="251">
        <f t="shared" si="47"/>
        <v>1873707.2665716475</v>
      </c>
      <c r="O97" s="277">
        <v>0</v>
      </c>
      <c r="P97" s="277">
        <v>0</v>
      </c>
      <c r="Q97" s="251">
        <f t="shared" si="45"/>
        <v>1873707.2665716475</v>
      </c>
      <c r="R97" s="246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</row>
    <row r="98" spans="1:38" ht="15">
      <c r="A98" s="245">
        <v>45658</v>
      </c>
      <c r="B98" s="261">
        <v>749447.78941698011</v>
      </c>
      <c r="C98" s="262">
        <v>749447.78941698011</v>
      </c>
      <c r="D98" s="261">
        <v>520262.31585180876</v>
      </c>
      <c r="E98" s="262">
        <v>520262.31585180876</v>
      </c>
      <c r="F98" s="261">
        <v>418874.14400947723</v>
      </c>
      <c r="G98" s="262">
        <v>418874.14400947723</v>
      </c>
      <c r="H98" s="261">
        <v>93736.861406150769</v>
      </c>
      <c r="I98" s="262">
        <v>93736.861406150769</v>
      </c>
      <c r="J98" s="261">
        <v>7311.2879427230791</v>
      </c>
      <c r="K98" s="261">
        <v>1889045.9842283302</v>
      </c>
      <c r="L98" s="249">
        <f t="shared" si="46"/>
        <v>2025</v>
      </c>
      <c r="M98" s="247">
        <v>1042.1270761980218</v>
      </c>
      <c r="N98" s="251">
        <f t="shared" si="47"/>
        <v>1890088.1113045283</v>
      </c>
      <c r="O98" s="277">
        <v>0</v>
      </c>
      <c r="P98" s="277">
        <v>0</v>
      </c>
      <c r="Q98" s="251">
        <f t="shared" si="45"/>
        <v>1890088.1113045283</v>
      </c>
      <c r="R98" s="246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</row>
    <row r="99" spans="1:38" ht="15">
      <c r="A99" s="245">
        <v>45689</v>
      </c>
      <c r="B99" s="261">
        <v>696197.54131005961</v>
      </c>
      <c r="C99" s="262">
        <v>696197.54131005961</v>
      </c>
      <c r="D99" s="261">
        <v>483088.67802681215</v>
      </c>
      <c r="E99" s="262">
        <v>483088.67802681215</v>
      </c>
      <c r="F99" s="261">
        <v>392302.05410333461</v>
      </c>
      <c r="G99" s="262">
        <v>392302.05410333461</v>
      </c>
      <c r="H99" s="261">
        <v>92849.704359908152</v>
      </c>
      <c r="I99" s="262">
        <v>92849.704359908152</v>
      </c>
      <c r="J99" s="261">
        <v>7672.5519772433072</v>
      </c>
      <c r="K99" s="261">
        <v>1764995.8080133754</v>
      </c>
      <c r="L99" s="249">
        <f t="shared" si="46"/>
        <v>2025</v>
      </c>
      <c r="M99" s="247">
        <v>897.6660553778994</v>
      </c>
      <c r="N99" s="251">
        <f t="shared" si="47"/>
        <v>1765893.4740687532</v>
      </c>
      <c r="O99" s="277">
        <v>0</v>
      </c>
      <c r="P99" s="277">
        <v>0</v>
      </c>
      <c r="Q99" s="251">
        <f t="shared" si="45"/>
        <v>1765893.4740687532</v>
      </c>
      <c r="R99" s="246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</row>
    <row r="100" spans="1:38" ht="15">
      <c r="A100" s="245">
        <v>45717</v>
      </c>
      <c r="B100" s="261">
        <v>576596.4014052063</v>
      </c>
      <c r="C100" s="262">
        <v>576596.4014052063</v>
      </c>
      <c r="D100" s="261">
        <v>490032.00357050722</v>
      </c>
      <c r="E100" s="262">
        <v>490032.00357050722</v>
      </c>
      <c r="F100" s="261">
        <v>426007.91462871182</v>
      </c>
      <c r="G100" s="262">
        <v>426007.91462871182</v>
      </c>
      <c r="H100" s="261">
        <v>96595.394743320707</v>
      </c>
      <c r="I100" s="262">
        <v>96595.394743320707</v>
      </c>
      <c r="J100" s="261">
        <v>7441.1490164794814</v>
      </c>
      <c r="K100" s="261">
        <v>1685367.6000603887</v>
      </c>
      <c r="L100" s="249">
        <f t="shared" si="46"/>
        <v>2025</v>
      </c>
      <c r="M100" s="247">
        <v>1039.0558419150102</v>
      </c>
      <c r="N100" s="251">
        <f t="shared" si="47"/>
        <v>1686406.6559023038</v>
      </c>
      <c r="O100" s="277">
        <v>0</v>
      </c>
      <c r="P100" s="277">
        <v>0</v>
      </c>
      <c r="Q100" s="251">
        <f t="shared" si="45"/>
        <v>1686406.6559023038</v>
      </c>
      <c r="R100" s="246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</row>
    <row r="101" spans="1:38" ht="15">
      <c r="A101" s="245">
        <v>45748</v>
      </c>
      <c r="B101" s="261">
        <v>499443.76707853342</v>
      </c>
      <c r="C101" s="262">
        <v>499443.76707853342</v>
      </c>
      <c r="D101" s="261">
        <v>461920.51316818915</v>
      </c>
      <c r="E101" s="262">
        <v>461920.51316818915</v>
      </c>
      <c r="F101" s="261">
        <v>403824.63726903632</v>
      </c>
      <c r="G101" s="262">
        <v>403824.63726903632</v>
      </c>
      <c r="H101" s="261">
        <v>93122.490137108689</v>
      </c>
      <c r="I101" s="262">
        <v>93122.490137108689</v>
      </c>
      <c r="J101" s="261">
        <v>7531.6348276814342</v>
      </c>
      <c r="K101" s="261">
        <v>1547270.2187505686</v>
      </c>
      <c r="L101" s="249">
        <f t="shared" si="46"/>
        <v>2025</v>
      </c>
      <c r="M101" s="247">
        <v>829.29322148332085</v>
      </c>
      <c r="N101" s="251">
        <f t="shared" si="47"/>
        <v>1548099.5119720518</v>
      </c>
      <c r="O101" s="277">
        <v>0</v>
      </c>
      <c r="P101" s="277">
        <v>0</v>
      </c>
      <c r="Q101" s="251">
        <f t="shared" si="45"/>
        <v>1548099.5119720518</v>
      </c>
      <c r="R101" s="246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49"/>
      <c r="AE101" s="249"/>
      <c r="AF101" s="249"/>
      <c r="AG101" s="249"/>
      <c r="AH101" s="249"/>
      <c r="AI101" s="249"/>
      <c r="AJ101" s="249"/>
      <c r="AK101" s="249"/>
      <c r="AL101" s="249"/>
    </row>
    <row r="102" spans="1:38" ht="15">
      <c r="A102" s="245">
        <v>45778</v>
      </c>
      <c r="B102" s="261">
        <v>496063.05013061699</v>
      </c>
      <c r="C102" s="262">
        <v>496063.05013061699</v>
      </c>
      <c r="D102" s="261">
        <v>474946.1364554973</v>
      </c>
      <c r="E102" s="262">
        <v>474946.1364554973</v>
      </c>
      <c r="F102" s="261">
        <v>384639.96783043892</v>
      </c>
      <c r="G102" s="262">
        <v>384639.96783043892</v>
      </c>
      <c r="H102" s="261">
        <v>95601.971330639528</v>
      </c>
      <c r="I102" s="262">
        <v>95601.971330639528</v>
      </c>
      <c r="J102" s="261">
        <v>7429.4753832570022</v>
      </c>
      <c r="K102" s="261">
        <v>1539709.9057611213</v>
      </c>
      <c r="L102" s="249">
        <f t="shared" si="46"/>
        <v>2025</v>
      </c>
      <c r="M102" s="247">
        <v>846.77263679684017</v>
      </c>
      <c r="N102" s="251">
        <f t="shared" si="47"/>
        <v>1540556.6783979181</v>
      </c>
      <c r="O102" s="277">
        <v>0</v>
      </c>
      <c r="P102" s="277">
        <v>0</v>
      </c>
      <c r="Q102" s="251">
        <f t="shared" si="45"/>
        <v>1540556.6783979181</v>
      </c>
      <c r="R102" s="246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49"/>
      <c r="AE102" s="249"/>
      <c r="AF102" s="249"/>
      <c r="AG102" s="249"/>
      <c r="AH102" s="249"/>
      <c r="AI102" s="249"/>
      <c r="AJ102" s="249"/>
      <c r="AK102" s="249"/>
      <c r="AL102" s="249"/>
    </row>
    <row r="103" spans="1:38" ht="15">
      <c r="A103" s="245">
        <v>45809</v>
      </c>
      <c r="B103" s="261">
        <v>663872.76816686313</v>
      </c>
      <c r="C103" s="262">
        <v>663872.76816686313</v>
      </c>
      <c r="D103" s="261">
        <v>553669.8298756755</v>
      </c>
      <c r="E103" s="262">
        <v>553669.8298756755</v>
      </c>
      <c r="F103" s="261">
        <v>458586.71677531739</v>
      </c>
      <c r="G103" s="262">
        <v>458586.71677531739</v>
      </c>
      <c r="H103" s="261">
        <v>97695.886746022399</v>
      </c>
      <c r="I103" s="262">
        <v>97695.886746022399</v>
      </c>
      <c r="J103" s="261">
        <v>7265.6278596403808</v>
      </c>
      <c r="K103" s="261">
        <v>1880029.933213895</v>
      </c>
      <c r="L103" s="249">
        <f t="shared" si="46"/>
        <v>2025</v>
      </c>
      <c r="M103" s="247">
        <v>771.43773909083984</v>
      </c>
      <c r="N103" s="251">
        <f t="shared" si="47"/>
        <v>1880801.3709529857</v>
      </c>
      <c r="O103" s="277">
        <v>0</v>
      </c>
      <c r="P103" s="277">
        <v>0</v>
      </c>
      <c r="Q103" s="251">
        <f t="shared" si="45"/>
        <v>1880801.3709529857</v>
      </c>
      <c r="R103" s="246"/>
      <c r="S103" s="249"/>
      <c r="T103" s="249"/>
      <c r="U103" s="249"/>
      <c r="V103" s="249"/>
      <c r="W103" s="249"/>
      <c r="X103" s="249"/>
      <c r="Y103" s="249"/>
      <c r="Z103" s="249"/>
      <c r="AA103" s="249"/>
      <c r="AB103" s="249"/>
      <c r="AC103" s="249"/>
      <c r="AD103" s="249"/>
      <c r="AE103" s="249"/>
      <c r="AF103" s="249"/>
      <c r="AG103" s="249"/>
      <c r="AH103" s="249"/>
      <c r="AI103" s="249"/>
      <c r="AJ103" s="249"/>
      <c r="AK103" s="249"/>
      <c r="AL103" s="249"/>
    </row>
    <row r="104" spans="1:38" ht="15">
      <c r="A104" s="245">
        <v>45839</v>
      </c>
      <c r="B104" s="261">
        <v>772172.12587805802</v>
      </c>
      <c r="C104" s="262">
        <v>772172.12587805802</v>
      </c>
      <c r="D104" s="261">
        <v>611798.8955525239</v>
      </c>
      <c r="E104" s="262">
        <v>611798.8955525239</v>
      </c>
      <c r="F104" s="261">
        <v>442549.79500700708</v>
      </c>
      <c r="G104" s="262">
        <v>442549.79500700708</v>
      </c>
      <c r="H104" s="261">
        <v>113632.7361297594</v>
      </c>
      <c r="I104" s="262">
        <v>113632.7361297594</v>
      </c>
      <c r="J104" s="261">
        <v>7382.1272919704079</v>
      </c>
      <c r="K104" s="261">
        <v>2055720.7491336507</v>
      </c>
      <c r="L104" s="249">
        <f t="shared" si="46"/>
        <v>2025</v>
      </c>
      <c r="M104" s="247">
        <v>879.58169996821437</v>
      </c>
      <c r="N104" s="251">
        <f t="shared" si="47"/>
        <v>2056600.330833619</v>
      </c>
      <c r="O104" s="277">
        <v>0</v>
      </c>
      <c r="P104" s="277">
        <v>0</v>
      </c>
      <c r="Q104" s="251">
        <f t="shared" si="45"/>
        <v>2056600.330833619</v>
      </c>
      <c r="R104" s="246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  <c r="AC104" s="249"/>
      <c r="AD104" s="249"/>
      <c r="AE104" s="249"/>
      <c r="AF104" s="249"/>
      <c r="AG104" s="249"/>
      <c r="AH104" s="249"/>
      <c r="AI104" s="249"/>
      <c r="AJ104" s="249"/>
      <c r="AK104" s="249"/>
      <c r="AL104" s="249"/>
    </row>
    <row r="105" spans="1:38" ht="15">
      <c r="A105" s="245">
        <v>45870</v>
      </c>
      <c r="B105" s="261">
        <v>766145.35977397941</v>
      </c>
      <c r="C105" s="262">
        <v>766145.35977397941</v>
      </c>
      <c r="D105" s="261">
        <v>594812.87470337329</v>
      </c>
      <c r="E105" s="262">
        <v>594812.87470337329</v>
      </c>
      <c r="F105" s="261">
        <v>476714.22928446607</v>
      </c>
      <c r="G105" s="262">
        <v>476714.22928446607</v>
      </c>
      <c r="H105" s="261">
        <v>112520.23521704039</v>
      </c>
      <c r="I105" s="262">
        <v>112520.23521704039</v>
      </c>
      <c r="J105" s="261">
        <v>7563.1949472636934</v>
      </c>
      <c r="K105" s="261">
        <v>2066508.6932699219</v>
      </c>
      <c r="L105" s="249">
        <f t="shared" si="46"/>
        <v>2025</v>
      </c>
      <c r="M105" s="247">
        <v>833.71884426127156</v>
      </c>
      <c r="N105" s="251">
        <f t="shared" si="47"/>
        <v>2067342.4121141832</v>
      </c>
      <c r="O105" s="277">
        <v>0</v>
      </c>
      <c r="P105" s="277">
        <v>0</v>
      </c>
      <c r="Q105" s="251">
        <f t="shared" si="45"/>
        <v>2067342.4121141832</v>
      </c>
      <c r="R105" s="246"/>
      <c r="S105" s="249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49"/>
      <c r="AE105" s="249"/>
      <c r="AF105" s="249"/>
      <c r="AG105" s="249"/>
      <c r="AH105" s="249"/>
      <c r="AI105" s="249"/>
      <c r="AJ105" s="249"/>
      <c r="AK105" s="249"/>
      <c r="AL105" s="249"/>
    </row>
    <row r="106" spans="1:38" ht="15">
      <c r="A106" s="245">
        <v>45901</v>
      </c>
      <c r="B106" s="261">
        <v>595298.41882049025</v>
      </c>
      <c r="C106" s="262">
        <v>595298.41882049025</v>
      </c>
      <c r="D106" s="261">
        <v>537467.58782678435</v>
      </c>
      <c r="E106" s="262">
        <v>537467.58782678435</v>
      </c>
      <c r="F106" s="261">
        <v>431058.5949981939</v>
      </c>
      <c r="G106" s="262">
        <v>431058.5949981939</v>
      </c>
      <c r="H106" s="261">
        <v>104494.74028539592</v>
      </c>
      <c r="I106" s="262">
        <v>104494.74028539592</v>
      </c>
      <c r="J106" s="261">
        <v>7683.2935391109731</v>
      </c>
      <c r="K106" s="261">
        <v>1769104.1191025528</v>
      </c>
      <c r="L106" s="249">
        <f t="shared" si="46"/>
        <v>2025</v>
      </c>
      <c r="M106" s="247">
        <v>895.64588411032832</v>
      </c>
      <c r="N106" s="251">
        <f t="shared" si="47"/>
        <v>1769999.7649866631</v>
      </c>
      <c r="O106" s="277">
        <v>0</v>
      </c>
      <c r="P106" s="277">
        <v>0</v>
      </c>
      <c r="Q106" s="251">
        <f t="shared" si="45"/>
        <v>1769999.7649866631</v>
      </c>
      <c r="R106" s="246"/>
      <c r="S106" s="249"/>
      <c r="T106" s="249"/>
      <c r="U106" s="249"/>
      <c r="V106" s="249"/>
      <c r="W106" s="249"/>
      <c r="X106" s="249"/>
      <c r="Y106" s="249"/>
      <c r="Z106" s="249"/>
      <c r="AA106" s="249"/>
      <c r="AB106" s="249"/>
      <c r="AC106" s="249"/>
      <c r="AD106" s="249"/>
      <c r="AE106" s="249"/>
      <c r="AF106" s="249"/>
      <c r="AG106" s="249"/>
      <c r="AH106" s="249"/>
      <c r="AI106" s="249"/>
      <c r="AJ106" s="249"/>
      <c r="AK106" s="249"/>
      <c r="AL106" s="249"/>
    </row>
    <row r="107" spans="1:38" ht="15">
      <c r="A107" s="245">
        <v>45931</v>
      </c>
      <c r="B107" s="261">
        <v>489379.48992925027</v>
      </c>
      <c r="C107" s="262">
        <v>489379.48992925027</v>
      </c>
      <c r="D107" s="261">
        <v>487295.51630780648</v>
      </c>
      <c r="E107" s="262">
        <v>487295.51630780648</v>
      </c>
      <c r="F107" s="261">
        <v>416140.45704096759</v>
      </c>
      <c r="G107" s="262">
        <v>416140.45704096759</v>
      </c>
      <c r="H107" s="261">
        <v>104181.0355228768</v>
      </c>
      <c r="I107" s="262">
        <v>104181.0355228768</v>
      </c>
      <c r="J107" s="261">
        <v>7228.5833516969305</v>
      </c>
      <c r="K107" s="261">
        <v>1587784.3701285811</v>
      </c>
      <c r="L107" s="249">
        <f t="shared" si="46"/>
        <v>2025</v>
      </c>
      <c r="M107" s="247">
        <v>781.85396791541859</v>
      </c>
      <c r="N107" s="251">
        <f t="shared" si="47"/>
        <v>1588566.2240964966</v>
      </c>
      <c r="O107" s="277">
        <v>0</v>
      </c>
      <c r="P107" s="277">
        <v>0</v>
      </c>
      <c r="Q107" s="251">
        <f t="shared" si="45"/>
        <v>1588566.2240964966</v>
      </c>
      <c r="R107" s="246"/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49"/>
      <c r="AD107" s="249"/>
      <c r="AE107" s="249"/>
      <c r="AF107" s="249"/>
      <c r="AG107" s="249"/>
      <c r="AH107" s="249"/>
      <c r="AI107" s="249"/>
      <c r="AJ107" s="249"/>
      <c r="AK107" s="249"/>
      <c r="AL107" s="249"/>
    </row>
    <row r="108" spans="1:38" ht="15">
      <c r="A108" s="245">
        <v>45962</v>
      </c>
      <c r="B108" s="261">
        <v>554461.09594198037</v>
      </c>
      <c r="C108" s="262">
        <v>554461.09594198037</v>
      </c>
      <c r="D108" s="261">
        <v>482829.33571239933</v>
      </c>
      <c r="E108" s="262">
        <v>482829.33571239933</v>
      </c>
      <c r="F108" s="261">
        <v>405742.02041511395</v>
      </c>
      <c r="G108" s="262">
        <v>405742.02041511395</v>
      </c>
      <c r="H108" s="261">
        <v>95517.668023837658</v>
      </c>
      <c r="I108" s="262">
        <v>95517.668023837658</v>
      </c>
      <c r="J108" s="261">
        <v>7242.0887424549592</v>
      </c>
      <c r="K108" s="261">
        <v>1631660.5392217555</v>
      </c>
      <c r="L108" s="249">
        <f t="shared" si="46"/>
        <v>2025</v>
      </c>
      <c r="M108" s="247">
        <v>765.12787921671384</v>
      </c>
      <c r="N108" s="251">
        <f t="shared" si="47"/>
        <v>1632425.6671009723</v>
      </c>
      <c r="O108" s="277">
        <v>0</v>
      </c>
      <c r="P108" s="277">
        <v>0</v>
      </c>
      <c r="Q108" s="251">
        <f t="shared" si="45"/>
        <v>1632425.6671009723</v>
      </c>
      <c r="R108" s="246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249"/>
      <c r="AD108" s="249"/>
      <c r="AE108" s="249"/>
      <c r="AF108" s="249"/>
      <c r="AG108" s="249"/>
      <c r="AH108" s="249"/>
      <c r="AI108" s="249"/>
      <c r="AJ108" s="249"/>
      <c r="AK108" s="249"/>
      <c r="AL108" s="249"/>
    </row>
    <row r="109" spans="1:38" ht="15">
      <c r="A109" s="245">
        <v>45992</v>
      </c>
      <c r="B109" s="261">
        <v>754372.4348418758</v>
      </c>
      <c r="C109" s="262">
        <v>754372.4348418758</v>
      </c>
      <c r="D109" s="261">
        <v>511693.79760328407</v>
      </c>
      <c r="E109" s="262">
        <v>511693.79760328407</v>
      </c>
      <c r="F109" s="261">
        <v>418081.26547860814</v>
      </c>
      <c r="G109" s="262">
        <v>418081.26547860814</v>
      </c>
      <c r="H109" s="261">
        <v>95450.018497512036</v>
      </c>
      <c r="I109" s="262">
        <v>95450.018497512036</v>
      </c>
      <c r="J109" s="261">
        <v>7786.5695950834379</v>
      </c>
      <c r="K109" s="261">
        <v>1886672.7784728154</v>
      </c>
      <c r="L109" s="249">
        <f t="shared" si="46"/>
        <v>2025</v>
      </c>
      <c r="M109" s="247">
        <v>998.76536703539455</v>
      </c>
      <c r="N109" s="251">
        <f t="shared" si="47"/>
        <v>1887671.5438398507</v>
      </c>
      <c r="O109" s="277">
        <v>0</v>
      </c>
      <c r="P109" s="277">
        <v>0</v>
      </c>
      <c r="Q109" s="251">
        <f t="shared" si="45"/>
        <v>1887671.5438398507</v>
      </c>
      <c r="R109" s="246"/>
      <c r="S109" s="249"/>
      <c r="T109" s="249"/>
      <c r="U109" s="249"/>
      <c r="V109" s="249"/>
      <c r="W109" s="249"/>
      <c r="X109" s="249"/>
      <c r="Y109" s="249"/>
      <c r="Z109" s="249"/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49"/>
      <c r="AK109" s="249"/>
      <c r="AL109" s="249"/>
    </row>
    <row r="110" spans="1:38" ht="15">
      <c r="A110" s="245">
        <v>46023</v>
      </c>
      <c r="B110" s="261">
        <v>750278.87109862454</v>
      </c>
      <c r="C110" s="262">
        <v>750278.87109862454</v>
      </c>
      <c r="D110" s="261">
        <v>518842.81509007496</v>
      </c>
      <c r="E110" s="262">
        <v>518842.81509007496</v>
      </c>
      <c r="F110" s="261">
        <v>422354.51875521609</v>
      </c>
      <c r="G110" s="262">
        <v>422354.51875521609</v>
      </c>
      <c r="H110" s="261">
        <v>94276.610200802854</v>
      </c>
      <c r="I110" s="262">
        <v>94276.610200802854</v>
      </c>
      <c r="J110" s="261">
        <v>7286.7392549665828</v>
      </c>
      <c r="K110" s="261">
        <v>1892642.4065632769</v>
      </c>
      <c r="L110" s="249">
        <f t="shared" si="46"/>
        <v>2026</v>
      </c>
      <c r="M110" s="247">
        <v>1042.5173314137835</v>
      </c>
      <c r="N110" s="251">
        <f t="shared" si="47"/>
        <v>1893684.9238946906</v>
      </c>
      <c r="O110" s="277">
        <v>0</v>
      </c>
      <c r="P110" s="277">
        <v>0</v>
      </c>
      <c r="Q110" s="251">
        <f t="shared" si="45"/>
        <v>1893684.9238946906</v>
      </c>
      <c r="R110" s="246"/>
      <c r="S110" s="249"/>
      <c r="T110" s="249"/>
      <c r="U110" s="249"/>
      <c r="V110" s="249"/>
      <c r="W110" s="249"/>
      <c r="X110" s="249"/>
      <c r="Y110" s="249"/>
      <c r="Z110" s="249"/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49"/>
      <c r="AK110" s="249"/>
      <c r="AL110" s="249"/>
    </row>
    <row r="111" spans="1:38" ht="15">
      <c r="A111" s="245">
        <v>46054</v>
      </c>
      <c r="B111" s="261">
        <v>696837.6568815395</v>
      </c>
      <c r="C111" s="262">
        <v>696837.6568815395</v>
      </c>
      <c r="D111" s="261">
        <v>481967.86193153681</v>
      </c>
      <c r="E111" s="262">
        <v>481967.86193153681</v>
      </c>
      <c r="F111" s="261">
        <v>395665.73996342637</v>
      </c>
      <c r="G111" s="262">
        <v>395665.73996342637</v>
      </c>
      <c r="H111" s="261">
        <v>93252.254619993822</v>
      </c>
      <c r="I111" s="262">
        <v>93252.254619993822</v>
      </c>
      <c r="J111" s="261">
        <v>7648.0830132225656</v>
      </c>
      <c r="K111" s="261">
        <v>1768438.0259967381</v>
      </c>
      <c r="L111" s="249">
        <f t="shared" si="46"/>
        <v>2026</v>
      </c>
      <c r="M111" s="247">
        <v>897.9232089145205</v>
      </c>
      <c r="N111" s="251">
        <f t="shared" si="47"/>
        <v>1769335.9492056526</v>
      </c>
      <c r="O111" s="277">
        <v>0</v>
      </c>
      <c r="P111" s="277">
        <v>0</v>
      </c>
      <c r="Q111" s="251">
        <f t="shared" si="45"/>
        <v>1769335.9492056526</v>
      </c>
      <c r="R111" s="246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  <c r="AC111" s="249"/>
      <c r="AD111" s="249"/>
      <c r="AE111" s="249"/>
      <c r="AF111" s="249"/>
      <c r="AG111" s="249"/>
      <c r="AH111" s="249"/>
      <c r="AI111" s="249"/>
      <c r="AJ111" s="249"/>
      <c r="AK111" s="249"/>
      <c r="AL111" s="249"/>
    </row>
    <row r="112" spans="1:38" ht="15">
      <c r="A112" s="245">
        <v>46082</v>
      </c>
      <c r="B112" s="261">
        <v>577539.58362584678</v>
      </c>
      <c r="C112" s="262">
        <v>577539.58362584678</v>
      </c>
      <c r="D112" s="261">
        <v>489034.0814605286</v>
      </c>
      <c r="E112" s="262">
        <v>489034.0814605286</v>
      </c>
      <c r="F112" s="261">
        <v>429288.38632589404</v>
      </c>
      <c r="G112" s="262">
        <v>429288.38632589404</v>
      </c>
      <c r="H112" s="261">
        <v>96897.375048610702</v>
      </c>
      <c r="I112" s="262">
        <v>96897.375048610702</v>
      </c>
      <c r="J112" s="261">
        <v>7416.759259987849</v>
      </c>
      <c r="K112" s="261">
        <v>1689065.5310066261</v>
      </c>
      <c r="L112" s="249">
        <f t="shared" si="46"/>
        <v>2026</v>
      </c>
      <c r="M112" s="247">
        <v>1039.2343439625256</v>
      </c>
      <c r="N112" s="251">
        <f t="shared" si="47"/>
        <v>1690104.7653505886</v>
      </c>
      <c r="O112" s="277">
        <v>0</v>
      </c>
      <c r="P112" s="277">
        <v>0</v>
      </c>
      <c r="Q112" s="251">
        <f t="shared" si="45"/>
        <v>1690104.7653505886</v>
      </c>
      <c r="R112" s="246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49"/>
      <c r="AE112" s="249"/>
      <c r="AF112" s="249"/>
      <c r="AG112" s="249"/>
      <c r="AH112" s="249"/>
      <c r="AI112" s="249"/>
      <c r="AJ112" s="249"/>
      <c r="AK112" s="249"/>
      <c r="AL112" s="249"/>
    </row>
    <row r="113" spans="1:38" ht="15">
      <c r="A113" s="245">
        <v>46113</v>
      </c>
      <c r="B113" s="261">
        <v>500634.01296893478</v>
      </c>
      <c r="C113" s="262">
        <v>500634.01296893478</v>
      </c>
      <c r="D113" s="261">
        <v>461142.13039482373</v>
      </c>
      <c r="E113" s="262">
        <v>461142.13039482373</v>
      </c>
      <c r="F113" s="261">
        <v>407044.14155998518</v>
      </c>
      <c r="G113" s="262">
        <v>407044.14155998518</v>
      </c>
      <c r="H113" s="261">
        <v>93350.724968792492</v>
      </c>
      <c r="I113" s="262">
        <v>93350.724968792492</v>
      </c>
      <c r="J113" s="261">
        <v>7507.3237675105192</v>
      </c>
      <c r="K113" s="261">
        <v>1551318.5592961092</v>
      </c>
      <c r="L113" s="249">
        <f t="shared" si="46"/>
        <v>2026</v>
      </c>
      <c r="M113" s="247">
        <v>829.41214094471582</v>
      </c>
      <c r="N113" s="251">
        <f t="shared" si="47"/>
        <v>1552147.971437054</v>
      </c>
      <c r="O113" s="277">
        <v>0</v>
      </c>
      <c r="P113" s="277">
        <v>0</v>
      </c>
      <c r="Q113" s="251">
        <f t="shared" si="45"/>
        <v>1552147.971437054</v>
      </c>
      <c r="R113" s="246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49"/>
      <c r="AE113" s="249"/>
      <c r="AF113" s="249"/>
      <c r="AG113" s="249"/>
      <c r="AH113" s="249"/>
      <c r="AI113" s="249"/>
      <c r="AJ113" s="249"/>
      <c r="AK113" s="249"/>
      <c r="AL113" s="249"/>
    </row>
    <row r="114" spans="1:38" ht="15">
      <c r="A114" s="245">
        <v>46143</v>
      </c>
      <c r="B114" s="261">
        <v>497266.8875885639</v>
      </c>
      <c r="C114" s="262">
        <v>497266.8875885639</v>
      </c>
      <c r="D114" s="261">
        <v>474412.49336690782</v>
      </c>
      <c r="E114" s="262">
        <v>474412.49336690782</v>
      </c>
      <c r="F114" s="261">
        <v>387813.61873264052</v>
      </c>
      <c r="G114" s="262">
        <v>387813.61873264052</v>
      </c>
      <c r="H114" s="261">
        <v>95775.959261454424</v>
      </c>
      <c r="I114" s="262">
        <v>95775.959261454424</v>
      </c>
      <c r="J114" s="261">
        <v>7405.2425131321488</v>
      </c>
      <c r="K114" s="261">
        <v>1543925.3494891375</v>
      </c>
      <c r="L114" s="249">
        <f t="shared" si="46"/>
        <v>2026</v>
      </c>
      <c r="M114" s="247">
        <v>846.85446936794654</v>
      </c>
      <c r="N114" s="251">
        <f t="shared" si="47"/>
        <v>1544772.2039585055</v>
      </c>
      <c r="O114" s="277">
        <v>0</v>
      </c>
      <c r="P114" s="277">
        <v>0</v>
      </c>
      <c r="Q114" s="251">
        <f t="shared" si="45"/>
        <v>1544772.2039585055</v>
      </c>
      <c r="R114" s="246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49"/>
      <c r="AL114" s="249"/>
    </row>
    <row r="115" spans="1:38" ht="15">
      <c r="A115" s="245">
        <v>46174</v>
      </c>
      <c r="B115" s="261">
        <v>664932.38715562376</v>
      </c>
      <c r="C115" s="262">
        <v>664932.38715562376</v>
      </c>
      <c r="D115" s="261">
        <v>553648.77953265619</v>
      </c>
      <c r="E115" s="262">
        <v>553648.77953265619</v>
      </c>
      <c r="F115" s="261">
        <v>461737.80595899891</v>
      </c>
      <c r="G115" s="262">
        <v>461737.80595899891</v>
      </c>
      <c r="H115" s="261">
        <v>97829.778566479668</v>
      </c>
      <c r="I115" s="262">
        <v>97829.778566479668</v>
      </c>
      <c r="J115" s="261">
        <v>7241.4726781572281</v>
      </c>
      <c r="K115" s="261">
        <v>1884568.1578578884</v>
      </c>
      <c r="L115" s="249">
        <f t="shared" si="46"/>
        <v>2026</v>
      </c>
      <c r="M115" s="247">
        <v>771.49263036911054</v>
      </c>
      <c r="N115" s="251">
        <f t="shared" si="47"/>
        <v>1885339.6504882574</v>
      </c>
      <c r="O115" s="277">
        <v>0</v>
      </c>
      <c r="P115" s="277">
        <v>0</v>
      </c>
      <c r="Q115" s="251">
        <f t="shared" si="45"/>
        <v>1885339.6504882574</v>
      </c>
      <c r="R115" s="246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  <c r="AJ115" s="249"/>
      <c r="AK115" s="249"/>
      <c r="AL115" s="249"/>
    </row>
    <row r="116" spans="1:38" ht="15">
      <c r="A116" s="245">
        <v>46204</v>
      </c>
      <c r="B116" s="261">
        <v>773133.92779204086</v>
      </c>
      <c r="C116" s="262">
        <v>773133.92779204086</v>
      </c>
      <c r="D116" s="261">
        <v>612056.72859739698</v>
      </c>
      <c r="E116" s="262">
        <v>612056.72859739698</v>
      </c>
      <c r="F116" s="261">
        <v>445685.18971208303</v>
      </c>
      <c r="G116" s="262">
        <v>445685.18971208303</v>
      </c>
      <c r="H116" s="261">
        <v>113736.9432333626</v>
      </c>
      <c r="I116" s="262">
        <v>113736.9432333626</v>
      </c>
      <c r="J116" s="261">
        <v>7358.0493025328597</v>
      </c>
      <c r="K116" s="261">
        <v>2060402.2797572627</v>
      </c>
      <c r="L116" s="249">
        <f t="shared" si="46"/>
        <v>2026</v>
      </c>
      <c r="M116" s="247">
        <v>879.61926891487917</v>
      </c>
      <c r="N116" s="251">
        <f t="shared" si="47"/>
        <v>2061281.8990261776</v>
      </c>
      <c r="O116" s="277">
        <v>0</v>
      </c>
      <c r="P116" s="277">
        <v>0</v>
      </c>
      <c r="Q116" s="251">
        <f t="shared" si="45"/>
        <v>2061281.8990261776</v>
      </c>
      <c r="R116" s="246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9"/>
      <c r="AD116" s="249"/>
      <c r="AE116" s="249"/>
      <c r="AF116" s="249"/>
      <c r="AG116" s="249"/>
      <c r="AH116" s="249"/>
      <c r="AI116" s="249"/>
      <c r="AJ116" s="249"/>
      <c r="AK116" s="249"/>
      <c r="AL116" s="249"/>
    </row>
    <row r="117" spans="1:38" ht="15">
      <c r="A117" s="245">
        <v>46235</v>
      </c>
      <c r="B117" s="261">
        <v>767313.73408153548</v>
      </c>
      <c r="C117" s="262">
        <v>767313.73408153548</v>
      </c>
      <c r="D117" s="261">
        <v>595026.83538349997</v>
      </c>
      <c r="E117" s="262">
        <v>595026.83538349997</v>
      </c>
      <c r="F117" s="261">
        <v>479845.48891702638</v>
      </c>
      <c r="G117" s="262">
        <v>479845.48891702638</v>
      </c>
      <c r="H117" s="261">
        <v>112602.52323820053</v>
      </c>
      <c r="I117" s="262">
        <v>112602.52323820053</v>
      </c>
      <c r="J117" s="261">
        <v>7539.1936580226238</v>
      </c>
      <c r="K117" s="261">
        <v>2071334.5413688365</v>
      </c>
      <c r="L117" s="249">
        <f t="shared" si="46"/>
        <v>2026</v>
      </c>
      <c r="M117" s="247">
        <v>833.74415198761574</v>
      </c>
      <c r="N117" s="251">
        <f t="shared" si="47"/>
        <v>2072168.2855208241</v>
      </c>
      <c r="O117" s="277">
        <v>0</v>
      </c>
      <c r="P117" s="277">
        <v>0</v>
      </c>
      <c r="Q117" s="251">
        <f t="shared" si="45"/>
        <v>2072168.2855208241</v>
      </c>
      <c r="R117" s="246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  <c r="AK117" s="249"/>
      <c r="AL117" s="249"/>
    </row>
    <row r="118" spans="1:38" ht="15">
      <c r="A118" s="245">
        <v>46266</v>
      </c>
      <c r="B118" s="261">
        <v>596770.10536619578</v>
      </c>
      <c r="C118" s="262">
        <v>596770.10536619578</v>
      </c>
      <c r="D118" s="261">
        <v>537252.38029299455</v>
      </c>
      <c r="E118" s="262">
        <v>537252.38029299455</v>
      </c>
      <c r="F118" s="261">
        <v>434189.62277900113</v>
      </c>
      <c r="G118" s="262">
        <v>434189.62277900113</v>
      </c>
      <c r="H118" s="261">
        <v>104560.8750316474</v>
      </c>
      <c r="I118" s="262">
        <v>104560.8750316474</v>
      </c>
      <c r="J118" s="261">
        <v>7659.3684629036416</v>
      </c>
      <c r="K118" s="261">
        <v>1773779.9050917199</v>
      </c>
      <c r="L118" s="249">
        <f t="shared" si="46"/>
        <v>2026</v>
      </c>
      <c r="M118" s="247">
        <v>895.66314723174162</v>
      </c>
      <c r="N118" s="251">
        <f t="shared" si="47"/>
        <v>1774675.5682389517</v>
      </c>
      <c r="O118" s="277">
        <v>0</v>
      </c>
      <c r="P118" s="277">
        <v>0</v>
      </c>
      <c r="Q118" s="251">
        <f t="shared" si="45"/>
        <v>1774675.5682389517</v>
      </c>
      <c r="R118" s="246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  <c r="AJ118" s="249"/>
      <c r="AK118" s="249"/>
      <c r="AL118" s="249"/>
    </row>
    <row r="119" spans="1:38" ht="15">
      <c r="A119" s="245">
        <v>46296</v>
      </c>
      <c r="B119" s="261">
        <v>491266.19162847911</v>
      </c>
      <c r="C119" s="262">
        <v>491266.19162847911</v>
      </c>
      <c r="D119" s="261">
        <v>486822.69428833632</v>
      </c>
      <c r="E119" s="262">
        <v>486822.69428833632</v>
      </c>
      <c r="F119" s="261">
        <v>419292.47293819761</v>
      </c>
      <c r="G119" s="262">
        <v>419292.47293819761</v>
      </c>
      <c r="H119" s="261">
        <v>104234.99061216247</v>
      </c>
      <c r="I119" s="262">
        <v>104234.99061216247</v>
      </c>
      <c r="J119" s="261">
        <v>7204.7340059878143</v>
      </c>
      <c r="K119" s="261">
        <v>1592635.6780534834</v>
      </c>
      <c r="L119" s="249">
        <f t="shared" si="46"/>
        <v>2026</v>
      </c>
      <c r="M119" s="247">
        <v>781.86562775973334</v>
      </c>
      <c r="N119" s="251">
        <f t="shared" si="47"/>
        <v>1593417.5436812432</v>
      </c>
      <c r="O119" s="277">
        <v>0</v>
      </c>
      <c r="P119" s="277">
        <v>0</v>
      </c>
      <c r="Q119" s="251">
        <f t="shared" si="45"/>
        <v>1593417.5436812432</v>
      </c>
      <c r="R119" s="246"/>
      <c r="S119" s="249"/>
      <c r="T119" s="249"/>
      <c r="U119" s="249"/>
      <c r="V119" s="249"/>
      <c r="W119" s="249"/>
      <c r="X119" s="249"/>
      <c r="Y119" s="249"/>
      <c r="Z119" s="249"/>
      <c r="AA119" s="249"/>
      <c r="AB119" s="249"/>
      <c r="AC119" s="249"/>
      <c r="AD119" s="249"/>
      <c r="AE119" s="249"/>
      <c r="AF119" s="249"/>
      <c r="AG119" s="249"/>
      <c r="AH119" s="249"/>
      <c r="AI119" s="249"/>
      <c r="AJ119" s="249"/>
      <c r="AK119" s="249"/>
      <c r="AL119" s="249"/>
    </row>
    <row r="120" spans="1:38" ht="15">
      <c r="A120" s="245">
        <v>46327</v>
      </c>
      <c r="B120" s="261">
        <v>556187.64134819643</v>
      </c>
      <c r="C120" s="262">
        <v>556187.64134819643</v>
      </c>
      <c r="D120" s="261">
        <v>482324.68546759669</v>
      </c>
      <c r="E120" s="262">
        <v>482324.68546759669</v>
      </c>
      <c r="F120" s="261">
        <v>408917.55135504261</v>
      </c>
      <c r="G120" s="262">
        <v>408917.55135504261</v>
      </c>
      <c r="H120" s="261">
        <v>95561.937311363567</v>
      </c>
      <c r="I120" s="262">
        <v>95561.937311363567</v>
      </c>
      <c r="J120" s="261">
        <v>7218.314649277303</v>
      </c>
      <c r="K120" s="261">
        <v>1636323.8748255714</v>
      </c>
      <c r="L120" s="249">
        <f t="shared" si="46"/>
        <v>2026</v>
      </c>
      <c r="M120" s="247">
        <v>765.13581612588166</v>
      </c>
      <c r="N120" s="251">
        <f t="shared" si="47"/>
        <v>1637089.0106416973</v>
      </c>
      <c r="O120" s="277">
        <v>0</v>
      </c>
      <c r="P120" s="277">
        <v>0</v>
      </c>
      <c r="Q120" s="251">
        <f t="shared" si="45"/>
        <v>1637089.0106416973</v>
      </c>
      <c r="R120" s="246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</row>
    <row r="121" spans="1:38" ht="15">
      <c r="A121" s="245">
        <v>46357</v>
      </c>
      <c r="B121" s="261">
        <v>756105.86698821955</v>
      </c>
      <c r="C121" s="262">
        <v>756105.86698821955</v>
      </c>
      <c r="D121" s="261">
        <v>511221.92087038269</v>
      </c>
      <c r="E121" s="262">
        <v>511221.92087038269</v>
      </c>
      <c r="F121" s="261">
        <v>421282.58462354157</v>
      </c>
      <c r="G121" s="262">
        <v>421282.58462354157</v>
      </c>
      <c r="H121" s="261">
        <v>95486.197410102701</v>
      </c>
      <c r="I121" s="262">
        <v>95486.197410102701</v>
      </c>
      <c r="J121" s="261">
        <v>7762.8702809818788</v>
      </c>
      <c r="K121" s="261">
        <v>1891396.7373173868</v>
      </c>
      <c r="L121" s="249">
        <f t="shared" si="46"/>
        <v>2026</v>
      </c>
      <c r="M121" s="247">
        <v>998.77073661049189</v>
      </c>
      <c r="N121" s="251">
        <f t="shared" si="47"/>
        <v>1892395.5080539973</v>
      </c>
      <c r="O121" s="277">
        <v>0</v>
      </c>
      <c r="P121" s="277">
        <v>0</v>
      </c>
      <c r="Q121" s="251">
        <f t="shared" si="45"/>
        <v>1892395.5080539973</v>
      </c>
      <c r="R121" s="246"/>
      <c r="S121" s="249"/>
      <c r="T121" s="249"/>
      <c r="U121" s="249"/>
      <c r="V121" s="249"/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49"/>
      <c r="AK121" s="249"/>
      <c r="AL121" s="249"/>
    </row>
    <row r="122" spans="1:38" ht="15">
      <c r="A122" s="245">
        <v>46388</v>
      </c>
      <c r="B122" s="261">
        <v>752740.3351316757</v>
      </c>
      <c r="C122" s="262">
        <v>752740.3351316757</v>
      </c>
      <c r="D122" s="261">
        <v>517862.49324662017</v>
      </c>
      <c r="E122" s="262">
        <v>517862.49324662017</v>
      </c>
      <c r="F122" s="261">
        <v>422714.40761438239</v>
      </c>
      <c r="G122" s="262">
        <v>422714.40761438239</v>
      </c>
      <c r="H122" s="261">
        <v>94306.50584909739</v>
      </c>
      <c r="I122" s="262">
        <v>94306.50584909739</v>
      </c>
      <c r="J122" s="261">
        <v>7263.1142509403626</v>
      </c>
      <c r="K122" s="261">
        <v>1894592.32535529</v>
      </c>
      <c r="L122" s="249">
        <f t="shared" si="46"/>
        <v>2027</v>
      </c>
      <c r="M122" s="247">
        <v>1042.520981761038</v>
      </c>
      <c r="N122" s="251">
        <f t="shared" si="47"/>
        <v>1895634.8463370509</v>
      </c>
      <c r="O122" s="277">
        <v>0</v>
      </c>
      <c r="P122" s="277">
        <v>0</v>
      </c>
      <c r="Q122" s="251">
        <f t="shared" si="45"/>
        <v>1895634.8463370509</v>
      </c>
      <c r="R122" s="246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49"/>
      <c r="AK122" s="249"/>
      <c r="AL122" s="249"/>
    </row>
    <row r="123" spans="1:38" ht="15">
      <c r="A123" s="245">
        <v>46419</v>
      </c>
      <c r="B123" s="261">
        <v>698973.13328961609</v>
      </c>
      <c r="C123" s="262">
        <v>698973.13328961609</v>
      </c>
      <c r="D123" s="261">
        <v>481159.32998139696</v>
      </c>
      <c r="E123" s="262">
        <v>481159.32998139696</v>
      </c>
      <c r="F123" s="261">
        <v>396008.41969177686</v>
      </c>
      <c r="G123" s="262">
        <v>396008.41969177686</v>
      </c>
      <c r="H123" s="261">
        <v>93278.374631725776</v>
      </c>
      <c r="I123" s="262">
        <v>93278.374631725776</v>
      </c>
      <c r="J123" s="261">
        <v>7624.5318546697135</v>
      </c>
      <c r="K123" s="261">
        <v>1770203.1088978306</v>
      </c>
      <c r="L123" s="249">
        <f t="shared" si="46"/>
        <v>2027</v>
      </c>
      <c r="M123" s="247">
        <v>897.92568102321979</v>
      </c>
      <c r="N123" s="251">
        <f t="shared" si="47"/>
        <v>1771101.0345788538</v>
      </c>
      <c r="O123" s="277">
        <v>0</v>
      </c>
      <c r="P123" s="277">
        <v>0</v>
      </c>
      <c r="Q123" s="251">
        <f t="shared" si="45"/>
        <v>1771101.0345788538</v>
      </c>
      <c r="R123" s="246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49"/>
      <c r="AK123" s="249"/>
      <c r="AL123" s="249"/>
    </row>
    <row r="124" spans="1:38" ht="15">
      <c r="A124" s="245">
        <v>46447</v>
      </c>
      <c r="B124" s="261">
        <v>580076.22124124644</v>
      </c>
      <c r="C124" s="262">
        <v>580076.22124124644</v>
      </c>
      <c r="D124" s="261">
        <v>488237.22653390671</v>
      </c>
      <c r="E124" s="262">
        <v>488237.22653390671</v>
      </c>
      <c r="F124" s="261">
        <v>429620.23361758387</v>
      </c>
      <c r="G124" s="262">
        <v>429620.23361758387</v>
      </c>
      <c r="H124" s="261">
        <v>96922.346251268784</v>
      </c>
      <c r="I124" s="262">
        <v>96922.346251268784</v>
      </c>
      <c r="J124" s="261">
        <v>7393.281486650787</v>
      </c>
      <c r="K124" s="261">
        <v>1691253.8158494104</v>
      </c>
      <c r="L124" s="249">
        <f t="shared" si="46"/>
        <v>2027</v>
      </c>
      <c r="M124" s="247">
        <v>1039.2360231948892</v>
      </c>
      <c r="N124" s="251">
        <f t="shared" si="47"/>
        <v>1692293.0518726052</v>
      </c>
      <c r="O124" s="277">
        <v>0</v>
      </c>
      <c r="P124" s="277">
        <v>0</v>
      </c>
      <c r="Q124" s="251">
        <f t="shared" si="45"/>
        <v>1692293.0518726052</v>
      </c>
      <c r="R124" s="246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</row>
    <row r="125" spans="1:38" ht="15">
      <c r="A125" s="245">
        <v>46478</v>
      </c>
      <c r="B125" s="261">
        <v>503304.13622322254</v>
      </c>
      <c r="C125" s="262">
        <v>503304.13622322254</v>
      </c>
      <c r="D125" s="261">
        <v>460477.55349808448</v>
      </c>
      <c r="E125" s="262">
        <v>460477.55349808448</v>
      </c>
      <c r="F125" s="261">
        <v>407357.13802215084</v>
      </c>
      <c r="G125" s="262">
        <v>407357.13802215084</v>
      </c>
      <c r="H125" s="261">
        <v>93375.874369391473</v>
      </c>
      <c r="I125" s="262">
        <v>93375.874369391473</v>
      </c>
      <c r="J125" s="261">
        <v>7483.918923421531</v>
      </c>
      <c r="K125" s="261">
        <v>1553767.7379954192</v>
      </c>
      <c r="L125" s="249">
        <f t="shared" si="46"/>
        <v>2027</v>
      </c>
      <c r="M125" s="247">
        <v>829.41327888881221</v>
      </c>
      <c r="N125" s="251">
        <f t="shared" si="47"/>
        <v>1554597.1512743081</v>
      </c>
      <c r="O125" s="277">
        <v>0</v>
      </c>
      <c r="P125" s="277">
        <v>0</v>
      </c>
      <c r="Q125" s="251">
        <f t="shared" si="45"/>
        <v>1554597.1512743081</v>
      </c>
      <c r="R125" s="246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49"/>
      <c r="AD125" s="249"/>
      <c r="AE125" s="249"/>
      <c r="AF125" s="249"/>
      <c r="AG125" s="249"/>
      <c r="AH125" s="249"/>
      <c r="AI125" s="249"/>
      <c r="AJ125" s="249"/>
      <c r="AK125" s="249"/>
      <c r="AL125" s="249"/>
    </row>
    <row r="126" spans="1:38" ht="15">
      <c r="A126" s="245">
        <v>46508</v>
      </c>
      <c r="B126" s="261">
        <v>500059.38482460036</v>
      </c>
      <c r="C126" s="262">
        <v>500059.38482460036</v>
      </c>
      <c r="D126" s="261">
        <v>473948.67253283365</v>
      </c>
      <c r="E126" s="262">
        <v>473948.67253283365</v>
      </c>
      <c r="F126" s="261">
        <v>388111.8939359074</v>
      </c>
      <c r="G126" s="262">
        <v>388111.8939359074</v>
      </c>
      <c r="H126" s="261">
        <v>95800.674321380502</v>
      </c>
      <c r="I126" s="262">
        <v>95800.674321380502</v>
      </c>
      <c r="J126" s="261">
        <v>7381.9101465607455</v>
      </c>
      <c r="K126" s="261">
        <v>1546699.6870322879</v>
      </c>
      <c r="L126" s="249">
        <f t="shared" si="46"/>
        <v>2027</v>
      </c>
      <c r="M126" s="247">
        <v>846.85524195215794</v>
      </c>
      <c r="N126" s="251">
        <f t="shared" si="47"/>
        <v>1547546.5422742402</v>
      </c>
      <c r="O126" s="277">
        <v>0</v>
      </c>
      <c r="P126" s="277">
        <v>0</v>
      </c>
      <c r="Q126" s="251">
        <f t="shared" si="45"/>
        <v>1547546.5422742402</v>
      </c>
      <c r="R126" s="246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49"/>
      <c r="AE126" s="249"/>
      <c r="AF126" s="249"/>
      <c r="AG126" s="249"/>
      <c r="AH126" s="249"/>
      <c r="AI126" s="249"/>
      <c r="AJ126" s="249"/>
      <c r="AK126" s="249"/>
      <c r="AL126" s="249"/>
    </row>
    <row r="127" spans="1:38" ht="15">
      <c r="A127" s="245">
        <v>46539</v>
      </c>
      <c r="B127" s="261">
        <v>667790.42037036468</v>
      </c>
      <c r="C127" s="262">
        <v>667790.42037036468</v>
      </c>
      <c r="D127" s="261">
        <v>553728.36217414576</v>
      </c>
      <c r="E127" s="262">
        <v>553728.36217414576</v>
      </c>
      <c r="F127" s="261">
        <v>462034.72721894283</v>
      </c>
      <c r="G127" s="262">
        <v>462034.72721894283</v>
      </c>
      <c r="H127" s="261">
        <v>97852.304651190512</v>
      </c>
      <c r="I127" s="262">
        <v>97852.304651190512</v>
      </c>
      <c r="J127" s="261">
        <v>7218.2123415572787</v>
      </c>
      <c r="K127" s="261">
        <v>1887981.5975783861</v>
      </c>
      <c r="L127" s="249">
        <f t="shared" si="46"/>
        <v>2027</v>
      </c>
      <c r="M127" s="247">
        <v>771.49315412402927</v>
      </c>
      <c r="N127" s="251">
        <f t="shared" si="47"/>
        <v>1888753.0907325102</v>
      </c>
      <c r="O127" s="277">
        <v>0</v>
      </c>
      <c r="P127" s="277">
        <v>0</v>
      </c>
      <c r="Q127" s="251">
        <f t="shared" si="45"/>
        <v>1888753.0907325102</v>
      </c>
      <c r="R127" s="246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49"/>
      <c r="AD127" s="249"/>
      <c r="AE127" s="249"/>
      <c r="AF127" s="249"/>
      <c r="AG127" s="249"/>
      <c r="AH127" s="249"/>
      <c r="AI127" s="249"/>
      <c r="AJ127" s="249"/>
      <c r="AK127" s="249"/>
      <c r="AL127" s="249"/>
    </row>
    <row r="128" spans="1:38" ht="15">
      <c r="A128" s="245">
        <v>46569</v>
      </c>
      <c r="B128" s="261">
        <v>776121.09888279263</v>
      </c>
      <c r="C128" s="262">
        <v>776121.09888279263</v>
      </c>
      <c r="D128" s="261">
        <v>612457.97166865261</v>
      </c>
      <c r="E128" s="262">
        <v>612457.97166865261</v>
      </c>
      <c r="F128" s="261">
        <v>445985.06077805115</v>
      </c>
      <c r="G128" s="262">
        <v>445985.06077805115</v>
      </c>
      <c r="H128" s="261">
        <v>113756.61199912979</v>
      </c>
      <c r="I128" s="262">
        <v>113756.61199912979</v>
      </c>
      <c r="J128" s="261">
        <v>7334.8605524913573</v>
      </c>
      <c r="K128" s="261">
        <v>2064291.7326928361</v>
      </c>
      <c r="L128" s="249">
        <f t="shared" si="46"/>
        <v>2027</v>
      </c>
      <c r="M128" s="247">
        <v>879.61962439655372</v>
      </c>
      <c r="N128" s="251">
        <f t="shared" si="47"/>
        <v>2065171.3523172326</v>
      </c>
      <c r="O128" s="277">
        <v>0</v>
      </c>
      <c r="P128" s="277">
        <v>0</v>
      </c>
      <c r="Q128" s="251">
        <f t="shared" si="45"/>
        <v>2065171.3523172326</v>
      </c>
      <c r="R128" s="246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  <c r="AJ128" s="249"/>
      <c r="AK128" s="249"/>
      <c r="AL128" s="249"/>
    </row>
    <row r="129" spans="1:38" ht="15">
      <c r="A129" s="245">
        <v>46600</v>
      </c>
      <c r="B129" s="261">
        <v>770457.68435336056</v>
      </c>
      <c r="C129" s="262">
        <v>770457.68435336056</v>
      </c>
      <c r="D129" s="261">
        <v>595392.53584614338</v>
      </c>
      <c r="E129" s="262">
        <v>595392.53584614338</v>
      </c>
      <c r="F129" s="261">
        <v>480152.53378627636</v>
      </c>
      <c r="G129" s="262">
        <v>480152.53378627636</v>
      </c>
      <c r="H129" s="261">
        <v>112620.52599952891</v>
      </c>
      <c r="I129" s="262">
        <v>112620.52599952891</v>
      </c>
      <c r="J129" s="261">
        <v>7516.0760552089278</v>
      </c>
      <c r="K129" s="261">
        <v>2075357.8543899807</v>
      </c>
      <c r="L129" s="249">
        <f t="shared" si="46"/>
        <v>2027</v>
      </c>
      <c r="M129" s="247">
        <v>833.74439303731401</v>
      </c>
      <c r="N129" s="251">
        <f t="shared" si="47"/>
        <v>2076191.5987830181</v>
      </c>
      <c r="O129" s="277">
        <v>0</v>
      </c>
      <c r="P129" s="277">
        <v>0</v>
      </c>
      <c r="Q129" s="251">
        <f t="shared" si="45"/>
        <v>2076191.5987830181</v>
      </c>
      <c r="R129" s="246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49"/>
      <c r="AE129" s="249"/>
      <c r="AF129" s="249"/>
      <c r="AG129" s="249"/>
      <c r="AH129" s="249"/>
      <c r="AI129" s="249"/>
      <c r="AJ129" s="249"/>
      <c r="AK129" s="249"/>
      <c r="AL129" s="249"/>
    </row>
    <row r="130" spans="1:38" ht="15">
      <c r="A130" s="245">
        <v>46631</v>
      </c>
      <c r="B130" s="261">
        <v>599883.50450583582</v>
      </c>
      <c r="C130" s="262">
        <v>599883.50450583582</v>
      </c>
      <c r="D130" s="261">
        <v>537150.03022877779</v>
      </c>
      <c r="E130" s="262">
        <v>537150.03022877779</v>
      </c>
      <c r="F130" s="261">
        <v>434502.8868252156</v>
      </c>
      <c r="G130" s="262">
        <v>434502.8868252156</v>
      </c>
      <c r="H130" s="261">
        <v>104579.71357565378</v>
      </c>
      <c r="I130" s="262">
        <v>104579.71357565378</v>
      </c>
      <c r="J130" s="261">
        <v>7636.3215720197049</v>
      </c>
      <c r="K130" s="261">
        <v>1777284.4407699904</v>
      </c>
      <c r="L130" s="249">
        <f t="shared" si="46"/>
        <v>2027</v>
      </c>
      <c r="M130" s="247">
        <v>895.66331080459224</v>
      </c>
      <c r="N130" s="251">
        <f t="shared" si="47"/>
        <v>1778180.1040807951</v>
      </c>
      <c r="O130" s="277">
        <v>0</v>
      </c>
      <c r="P130" s="277">
        <v>0</v>
      </c>
      <c r="Q130" s="251">
        <f t="shared" si="45"/>
        <v>1778180.1040807951</v>
      </c>
      <c r="R130" s="246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</row>
    <row r="131" spans="1:38" ht="15">
      <c r="A131" s="245">
        <v>46661</v>
      </c>
      <c r="B131" s="261">
        <v>494707.09153429297</v>
      </c>
      <c r="C131" s="262">
        <v>494707.09153429297</v>
      </c>
      <c r="D131" s="261">
        <v>486488.93467313243</v>
      </c>
      <c r="E131" s="262">
        <v>486488.93467313243</v>
      </c>
      <c r="F131" s="261">
        <v>419635.95959495753</v>
      </c>
      <c r="G131" s="262">
        <v>419635.95959495753</v>
      </c>
      <c r="H131" s="261">
        <v>104256.61244158958</v>
      </c>
      <c r="I131" s="262">
        <v>104256.61244158958</v>
      </c>
      <c r="J131" s="261">
        <v>7181.7573957183822</v>
      </c>
      <c r="K131" s="261">
        <v>1596276.5563364692</v>
      </c>
      <c r="L131" s="249">
        <f t="shared" si="46"/>
        <v>2027</v>
      </c>
      <c r="M131" s="247">
        <v>781.86573869438337</v>
      </c>
      <c r="N131" s="251">
        <f t="shared" si="47"/>
        <v>1597058.4220751636</v>
      </c>
      <c r="O131" s="277">
        <v>0</v>
      </c>
      <c r="P131" s="277">
        <v>0</v>
      </c>
      <c r="Q131" s="251">
        <f t="shared" si="45"/>
        <v>1597058.4220751636</v>
      </c>
      <c r="R131" s="246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49"/>
      <c r="AE131" s="249"/>
      <c r="AF131" s="249"/>
      <c r="AG131" s="249"/>
      <c r="AH131" s="249"/>
      <c r="AI131" s="249"/>
      <c r="AJ131" s="249"/>
      <c r="AK131" s="249"/>
      <c r="AL131" s="249"/>
    </row>
    <row r="132" spans="1:38" ht="15">
      <c r="A132" s="245">
        <v>46692</v>
      </c>
      <c r="B132" s="261">
        <v>559430.72400587564</v>
      </c>
      <c r="C132" s="262">
        <v>559430.72400587564</v>
      </c>
      <c r="D132" s="261">
        <v>482007.88287913409</v>
      </c>
      <c r="E132" s="262">
        <v>482007.88287913409</v>
      </c>
      <c r="F132" s="261">
        <v>409287.70343511732</v>
      </c>
      <c r="G132" s="262">
        <v>409287.70343511732</v>
      </c>
      <c r="H132" s="261">
        <v>95587.171172283124</v>
      </c>
      <c r="I132" s="262">
        <v>95587.171172283124</v>
      </c>
      <c r="J132" s="261">
        <v>7195.4078922421622</v>
      </c>
      <c r="K132" s="261">
        <v>1639805.8792444274</v>
      </c>
      <c r="L132" s="249">
        <f t="shared" si="46"/>
        <v>2027</v>
      </c>
      <c r="M132" s="247">
        <v>765.13589139542728</v>
      </c>
      <c r="N132" s="251">
        <f t="shared" si="47"/>
        <v>1640571.0151358228</v>
      </c>
      <c r="O132" s="277">
        <v>0</v>
      </c>
      <c r="P132" s="277">
        <v>0</v>
      </c>
      <c r="Q132" s="251">
        <f t="shared" si="45"/>
        <v>1640571.0151358228</v>
      </c>
      <c r="R132" s="246"/>
      <c r="S132" s="249"/>
      <c r="T132" s="249"/>
      <c r="U132" s="249"/>
      <c r="V132" s="249"/>
      <c r="W132" s="249"/>
      <c r="X132" s="249"/>
      <c r="Y132" s="249"/>
      <c r="Z132" s="249"/>
      <c r="AA132" s="249"/>
      <c r="AB132" s="249"/>
      <c r="AC132" s="249"/>
      <c r="AD132" s="249"/>
      <c r="AE132" s="249"/>
      <c r="AF132" s="249"/>
      <c r="AG132" s="249"/>
      <c r="AH132" s="249"/>
      <c r="AI132" s="249"/>
      <c r="AJ132" s="249"/>
      <c r="AK132" s="249"/>
      <c r="AL132" s="249"/>
    </row>
    <row r="133" spans="1:38" ht="15">
      <c r="A133" s="245">
        <v>46722</v>
      </c>
      <c r="B133" s="261">
        <v>759445.50633876654</v>
      </c>
      <c r="C133" s="262">
        <v>759445.50633876654</v>
      </c>
      <c r="D133" s="261">
        <v>510996.12163258821</v>
      </c>
      <c r="E133" s="262">
        <v>510996.12163258821</v>
      </c>
      <c r="F133" s="261">
        <v>421682.28662855964</v>
      </c>
      <c r="G133" s="262">
        <v>421682.28662855964</v>
      </c>
      <c r="H133" s="261">
        <v>95514.892825856456</v>
      </c>
      <c r="I133" s="262">
        <v>95514.892825856456</v>
      </c>
      <c r="J133" s="261">
        <v>7740.0329536874942</v>
      </c>
      <c r="K133" s="261">
        <v>1895111.6392333168</v>
      </c>
      <c r="L133" s="249">
        <f t="shared" si="46"/>
        <v>2027</v>
      </c>
      <c r="M133" s="247">
        <v>998.7707876629604</v>
      </c>
      <c r="N133" s="251">
        <f t="shared" si="47"/>
        <v>1896110.4100209798</v>
      </c>
      <c r="O133" s="277">
        <v>0</v>
      </c>
      <c r="P133" s="277">
        <v>0</v>
      </c>
      <c r="Q133" s="251">
        <f t="shared" si="45"/>
        <v>1896110.4100209798</v>
      </c>
      <c r="R133" s="246"/>
      <c r="S133" s="249"/>
      <c r="T133" s="249"/>
      <c r="U133" s="249"/>
      <c r="V133" s="249"/>
      <c r="W133" s="249"/>
      <c r="X133" s="249"/>
      <c r="Y133" s="249"/>
      <c r="Z133" s="249"/>
      <c r="AA133" s="249"/>
      <c r="AB133" s="249"/>
      <c r="AC133" s="249"/>
      <c r="AD133" s="249"/>
      <c r="AE133" s="249"/>
      <c r="AF133" s="249"/>
      <c r="AG133" s="249"/>
      <c r="AH133" s="249"/>
      <c r="AI133" s="249"/>
      <c r="AJ133" s="249"/>
      <c r="AK133" s="249"/>
      <c r="AL133" s="249"/>
    </row>
    <row r="134" spans="1:38" ht="15">
      <c r="A134" s="245">
        <v>46753</v>
      </c>
      <c r="B134" s="261">
        <v>755338.32108099805</v>
      </c>
      <c r="C134" s="262">
        <v>755338.32108099805</v>
      </c>
      <c r="D134" s="261">
        <v>517949.70731688885</v>
      </c>
      <c r="E134" s="262">
        <v>517949.70731688885</v>
      </c>
      <c r="F134" s="261">
        <v>423163.12188373774</v>
      </c>
      <c r="G134" s="262">
        <v>423163.12188373774</v>
      </c>
      <c r="H134" s="261">
        <v>94337.937856843419</v>
      </c>
      <c r="I134" s="262">
        <v>94337.937856843419</v>
      </c>
      <c r="J134" s="261">
        <v>7240.3459337333825</v>
      </c>
      <c r="K134" s="261">
        <v>1897909.4726738262</v>
      </c>
      <c r="L134" s="249">
        <f t="shared" si="46"/>
        <v>2028</v>
      </c>
      <c r="M134" s="247">
        <v>1042.5210163977072</v>
      </c>
      <c r="N134" s="251">
        <f t="shared" si="47"/>
        <v>1898951.9936902239</v>
      </c>
      <c r="O134" s="277">
        <v>0</v>
      </c>
      <c r="P134" s="277">
        <v>0</v>
      </c>
      <c r="Q134" s="251">
        <f t="shared" si="45"/>
        <v>1898951.9936902239</v>
      </c>
      <c r="R134" s="249"/>
      <c r="S134" s="249"/>
      <c r="T134" s="249"/>
      <c r="U134" s="249"/>
      <c r="V134" s="249"/>
      <c r="W134" s="249"/>
      <c r="X134" s="249"/>
      <c r="Y134" s="249"/>
      <c r="Z134" s="249"/>
      <c r="AA134" s="249"/>
      <c r="AB134" s="249"/>
      <c r="AC134" s="249"/>
      <c r="AD134" s="249"/>
      <c r="AE134" s="249"/>
      <c r="AF134" s="249"/>
      <c r="AG134" s="249"/>
      <c r="AH134" s="249"/>
      <c r="AI134" s="249"/>
      <c r="AJ134" s="249"/>
      <c r="AK134" s="249"/>
      <c r="AL134" s="249"/>
    </row>
    <row r="135" spans="1:38" ht="15">
      <c r="A135" s="245">
        <v>46784</v>
      </c>
      <c r="B135" s="261">
        <v>720265.25315406465</v>
      </c>
      <c r="C135" s="262">
        <v>720265.25315406465</v>
      </c>
      <c r="D135" s="261">
        <v>497048.12397165119</v>
      </c>
      <c r="E135" s="262">
        <v>497048.12397165119</v>
      </c>
      <c r="F135" s="261">
        <v>396419.6245298229</v>
      </c>
      <c r="G135" s="262">
        <v>396419.6245298229</v>
      </c>
      <c r="H135" s="261">
        <v>93311.283907355581</v>
      </c>
      <c r="I135" s="262">
        <v>93311.283907355581</v>
      </c>
      <c r="J135" s="261">
        <v>7601.8321316906722</v>
      </c>
      <c r="K135" s="261">
        <v>1809894.2360947332</v>
      </c>
      <c r="L135" s="249">
        <f t="shared" si="46"/>
        <v>2028</v>
      </c>
      <c r="M135" s="247">
        <v>897.92570451734821</v>
      </c>
      <c r="N135" s="251">
        <f t="shared" si="47"/>
        <v>1810792.1617992506</v>
      </c>
      <c r="O135" s="277">
        <v>0</v>
      </c>
      <c r="P135" s="277">
        <v>0</v>
      </c>
      <c r="Q135" s="251">
        <f t="shared" si="45"/>
        <v>1810792.1617992506</v>
      </c>
      <c r="R135" s="249"/>
      <c r="S135" s="249"/>
      <c r="T135" s="249"/>
      <c r="U135" s="249"/>
      <c r="V135" s="249"/>
      <c r="W135" s="249"/>
      <c r="X135" s="249"/>
      <c r="Y135" s="249"/>
      <c r="Z135" s="249"/>
      <c r="AA135" s="249"/>
      <c r="AB135" s="249"/>
      <c r="AC135" s="249"/>
      <c r="AD135" s="249"/>
      <c r="AE135" s="249"/>
      <c r="AF135" s="249"/>
      <c r="AG135" s="249"/>
      <c r="AH135" s="249"/>
      <c r="AI135" s="249"/>
      <c r="AJ135" s="249"/>
      <c r="AK135" s="249"/>
      <c r="AL135" s="249"/>
    </row>
    <row r="136" spans="1:38" ht="15">
      <c r="A136" s="245">
        <v>46813</v>
      </c>
      <c r="B136" s="261">
        <v>582736.88874660758</v>
      </c>
      <c r="C136" s="262">
        <v>582736.88874660758</v>
      </c>
      <c r="D136" s="261">
        <v>488435.80757117295</v>
      </c>
      <c r="E136" s="262">
        <v>488435.80757117295</v>
      </c>
      <c r="F136" s="261">
        <v>430024.92144258536</v>
      </c>
      <c r="G136" s="262">
        <v>430024.92144258536</v>
      </c>
      <c r="H136" s="261">
        <v>96955.480258169293</v>
      </c>
      <c r="I136" s="262">
        <v>96955.480258169293</v>
      </c>
      <c r="J136" s="261">
        <v>7370.6499457880409</v>
      </c>
      <c r="K136" s="261">
        <v>1694710.1488561688</v>
      </c>
      <c r="L136" s="249">
        <f t="shared" si="46"/>
        <v>2028</v>
      </c>
      <c r="M136" s="247">
        <v>1039.2360391337907</v>
      </c>
      <c r="N136" s="251">
        <f t="shared" si="47"/>
        <v>1695749.3848953026</v>
      </c>
      <c r="O136" s="277">
        <v>0</v>
      </c>
      <c r="P136" s="277">
        <v>0</v>
      </c>
      <c r="Q136" s="251">
        <f t="shared" si="45"/>
        <v>1695749.3848953026</v>
      </c>
      <c r="R136" s="249"/>
      <c r="S136" s="249"/>
      <c r="T136" s="249"/>
      <c r="U136" s="249"/>
      <c r="V136" s="249"/>
      <c r="W136" s="249"/>
      <c r="X136" s="249"/>
      <c r="Y136" s="249"/>
      <c r="Z136" s="249"/>
      <c r="AA136" s="249"/>
      <c r="AB136" s="249"/>
      <c r="AC136" s="249"/>
      <c r="AD136" s="249"/>
      <c r="AE136" s="249"/>
      <c r="AF136" s="249"/>
      <c r="AG136" s="249"/>
      <c r="AH136" s="249"/>
      <c r="AI136" s="249"/>
      <c r="AJ136" s="249"/>
      <c r="AK136" s="249"/>
      <c r="AL136" s="249"/>
    </row>
    <row r="137" spans="1:38" ht="15">
      <c r="A137" s="245">
        <v>46844</v>
      </c>
      <c r="B137" s="261">
        <v>506065.08013590903</v>
      </c>
      <c r="C137" s="262">
        <v>506065.08013590903</v>
      </c>
      <c r="D137" s="261">
        <v>460710.95499395666</v>
      </c>
      <c r="E137" s="262">
        <v>460710.95499395666</v>
      </c>
      <c r="F137" s="261">
        <v>407730.86139487772</v>
      </c>
      <c r="G137" s="262">
        <v>407730.86139487772</v>
      </c>
      <c r="H137" s="261">
        <v>93408.983747996244</v>
      </c>
      <c r="I137" s="262">
        <v>93408.983747996244</v>
      </c>
      <c r="J137" s="261">
        <v>7461.355156266809</v>
      </c>
      <c r="K137" s="261">
        <v>1557334.0334847881</v>
      </c>
      <c r="L137" s="249">
        <f t="shared" si="46"/>
        <v>2028</v>
      </c>
      <c r="M137" s="247">
        <v>829.41328970060351</v>
      </c>
      <c r="N137" s="251">
        <f t="shared" si="47"/>
        <v>1558163.4467744888</v>
      </c>
      <c r="O137" s="277">
        <v>0</v>
      </c>
      <c r="P137" s="277">
        <v>0</v>
      </c>
      <c r="Q137" s="251">
        <f t="shared" si="45"/>
        <v>1558163.4467744888</v>
      </c>
      <c r="R137" s="249"/>
      <c r="S137" s="249"/>
      <c r="T137" s="249"/>
      <c r="U137" s="249"/>
      <c r="V137" s="249"/>
      <c r="W137" s="249"/>
      <c r="X137" s="249"/>
      <c r="Y137" s="249"/>
      <c r="Z137" s="249"/>
      <c r="AA137" s="249"/>
      <c r="AB137" s="249"/>
      <c r="AC137" s="249"/>
      <c r="AD137" s="249"/>
      <c r="AE137" s="249"/>
      <c r="AF137" s="249"/>
      <c r="AG137" s="249"/>
      <c r="AH137" s="249"/>
      <c r="AI137" s="249"/>
      <c r="AJ137" s="249"/>
      <c r="AK137" s="249"/>
      <c r="AL137" s="249"/>
    </row>
    <row r="138" spans="1:38" ht="15">
      <c r="A138" s="245">
        <v>46874</v>
      </c>
      <c r="B138" s="261">
        <v>502942.1975138433</v>
      </c>
      <c r="C138" s="262">
        <v>502942.1975138433</v>
      </c>
      <c r="D138" s="261">
        <v>474364.58371498564</v>
      </c>
      <c r="E138" s="262">
        <v>474364.58371498564</v>
      </c>
      <c r="F138" s="261">
        <v>388464.83706385078</v>
      </c>
      <c r="G138" s="262">
        <v>388464.83706385078</v>
      </c>
      <c r="H138" s="261">
        <v>95835.065441768122</v>
      </c>
      <c r="I138" s="262">
        <v>95835.065441768122</v>
      </c>
      <c r="J138" s="261">
        <v>7359.4137483645527</v>
      </c>
      <c r="K138" s="261">
        <v>1550566.7585958883</v>
      </c>
      <c r="L138" s="249">
        <f t="shared" si="46"/>
        <v>2028</v>
      </c>
      <c r="M138" s="247">
        <v>846.85524928688494</v>
      </c>
      <c r="N138" s="251">
        <f t="shared" si="47"/>
        <v>1551413.6138451751</v>
      </c>
      <c r="O138" s="277">
        <v>0</v>
      </c>
      <c r="P138" s="277">
        <v>0</v>
      </c>
      <c r="Q138" s="251">
        <f t="shared" si="45"/>
        <v>1551413.6138451751</v>
      </c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</row>
    <row r="139" spans="1:38" ht="15">
      <c r="A139" s="245">
        <v>46905</v>
      </c>
      <c r="B139" s="261">
        <v>670813.92487795313</v>
      </c>
      <c r="C139" s="262">
        <v>670813.92487795313</v>
      </c>
      <c r="D139" s="261">
        <v>554670.67289783282</v>
      </c>
      <c r="E139" s="262">
        <v>554670.67289783282</v>
      </c>
      <c r="F139" s="261">
        <v>462380.17283360602</v>
      </c>
      <c r="G139" s="262">
        <v>462380.17283360602</v>
      </c>
      <c r="H139" s="261">
        <v>97890.142302455613</v>
      </c>
      <c r="I139" s="262">
        <v>97890.142302455613</v>
      </c>
      <c r="J139" s="261">
        <v>7195.782911185609</v>
      </c>
      <c r="K139" s="261">
        <v>1892548.6119172273</v>
      </c>
      <c r="L139" s="249">
        <f t="shared" si="46"/>
        <v>2028</v>
      </c>
      <c r="M139" s="247">
        <v>771.49315909948928</v>
      </c>
      <c r="N139" s="251">
        <f t="shared" si="47"/>
        <v>1893320.1050763268</v>
      </c>
      <c r="O139" s="277">
        <v>0</v>
      </c>
      <c r="P139" s="277">
        <v>0</v>
      </c>
      <c r="Q139" s="251">
        <f t="shared" si="45"/>
        <v>1893320.1050763268</v>
      </c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  <c r="AC139" s="249"/>
      <c r="AD139" s="249"/>
      <c r="AE139" s="249"/>
      <c r="AF139" s="249"/>
      <c r="AG139" s="249"/>
      <c r="AH139" s="249"/>
      <c r="AI139" s="249"/>
      <c r="AJ139" s="249"/>
      <c r="AK139" s="249"/>
      <c r="AL139" s="249"/>
    </row>
    <row r="140" spans="1:38" ht="15">
      <c r="A140" s="245">
        <v>46935</v>
      </c>
      <c r="B140" s="261">
        <v>779305.9328520057</v>
      </c>
      <c r="C140" s="262">
        <v>779305.9328520057</v>
      </c>
      <c r="D140" s="261">
        <v>613769.68686467141</v>
      </c>
      <c r="E140" s="262">
        <v>613769.68686467141</v>
      </c>
      <c r="F140" s="261">
        <v>446333.48417132843</v>
      </c>
      <c r="G140" s="262">
        <v>446333.48417132843</v>
      </c>
      <c r="H140" s="261">
        <v>113798.95802030765</v>
      </c>
      <c r="I140" s="262">
        <v>113798.95802030765</v>
      </c>
      <c r="J140" s="261">
        <v>7312.4976923828472</v>
      </c>
      <c r="K140" s="261">
        <v>2069426.9353593551</v>
      </c>
      <c r="L140" s="249">
        <f t="shared" si="46"/>
        <v>2028</v>
      </c>
      <c r="M140" s="247">
        <v>879.61962777184783</v>
      </c>
      <c r="N140" s="251">
        <f t="shared" si="47"/>
        <v>2070306.554987127</v>
      </c>
      <c r="O140" s="277">
        <v>0</v>
      </c>
      <c r="P140" s="277">
        <v>0</v>
      </c>
      <c r="Q140" s="251">
        <f t="shared" si="45"/>
        <v>2070306.554987127</v>
      </c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  <c r="AC140" s="249"/>
      <c r="AD140" s="249"/>
      <c r="AE140" s="249"/>
      <c r="AF140" s="249"/>
      <c r="AG140" s="249"/>
      <c r="AH140" s="249"/>
      <c r="AI140" s="249"/>
      <c r="AJ140" s="249"/>
      <c r="AK140" s="249"/>
      <c r="AL140" s="249"/>
    </row>
    <row r="141" spans="1:38" ht="15">
      <c r="A141" s="245">
        <v>46966</v>
      </c>
      <c r="B141" s="261">
        <v>773760.0341460557</v>
      </c>
      <c r="C141" s="262">
        <v>773760.0341460557</v>
      </c>
      <c r="D141" s="261">
        <v>596670.06605757843</v>
      </c>
      <c r="E141" s="262">
        <v>596670.06605757843</v>
      </c>
      <c r="F141" s="261">
        <v>480506.23623468535</v>
      </c>
      <c r="G141" s="262">
        <v>480506.23623468535</v>
      </c>
      <c r="H141" s="261">
        <v>112666.71087910999</v>
      </c>
      <c r="I141" s="262">
        <v>112666.71087910999</v>
      </c>
      <c r="J141" s="261">
        <v>7493.7793713320261</v>
      </c>
      <c r="K141" s="261">
        <v>2080590.7111639071</v>
      </c>
      <c r="L141" s="249">
        <f t="shared" si="46"/>
        <v>2028</v>
      </c>
      <c r="M141" s="247">
        <v>833.74439532695351</v>
      </c>
      <c r="N141" s="251">
        <f t="shared" si="47"/>
        <v>2081424.4555592341</v>
      </c>
      <c r="O141" s="277">
        <v>0</v>
      </c>
      <c r="P141" s="277">
        <v>0</v>
      </c>
      <c r="Q141" s="251">
        <f t="shared" si="45"/>
        <v>2081424.4555592341</v>
      </c>
      <c r="R141" s="249"/>
      <c r="S141" s="249"/>
      <c r="T141" s="249"/>
      <c r="U141" s="249"/>
      <c r="V141" s="249"/>
      <c r="W141" s="249"/>
      <c r="X141" s="249"/>
      <c r="Y141" s="249"/>
      <c r="Z141" s="249"/>
      <c r="AA141" s="249"/>
      <c r="AB141" s="249"/>
      <c r="AC141" s="249"/>
      <c r="AD141" s="249"/>
      <c r="AE141" s="249"/>
      <c r="AF141" s="249"/>
      <c r="AG141" s="249"/>
      <c r="AH141" s="249"/>
      <c r="AI141" s="249"/>
      <c r="AJ141" s="249"/>
      <c r="AK141" s="249"/>
      <c r="AL141" s="249"/>
    </row>
    <row r="142" spans="1:38" ht="15">
      <c r="A142" s="245">
        <v>46997</v>
      </c>
      <c r="B142" s="261">
        <v>603041.26139262167</v>
      </c>
      <c r="C142" s="262">
        <v>603041.26139262167</v>
      </c>
      <c r="D142" s="261">
        <v>537915.55858365085</v>
      </c>
      <c r="E142" s="262">
        <v>537915.55858365085</v>
      </c>
      <c r="F142" s="261">
        <v>434861.55450045964</v>
      </c>
      <c r="G142" s="262">
        <v>434861.55450045964</v>
      </c>
      <c r="H142" s="261">
        <v>104627.69094498144</v>
      </c>
      <c r="I142" s="262">
        <v>104627.69094498144</v>
      </c>
      <c r="J142" s="261">
        <v>7614.0906738313661</v>
      </c>
      <c r="K142" s="261">
        <v>1781831.4316696227</v>
      </c>
      <c r="L142" s="249">
        <f t="shared" si="46"/>
        <v>2028</v>
      </c>
      <c r="M142" s="247">
        <v>895.66331235783969</v>
      </c>
      <c r="N142" s="251">
        <f t="shared" si="47"/>
        <v>1782727.0949819805</v>
      </c>
      <c r="O142" s="277">
        <v>0</v>
      </c>
      <c r="P142" s="277">
        <v>0</v>
      </c>
      <c r="Q142" s="251">
        <f t="shared" ref="Q142:Q157" si="48">K142+M142-O142-P142</f>
        <v>1782727.0949819805</v>
      </c>
      <c r="R142" s="249"/>
      <c r="S142" s="249"/>
      <c r="T142" s="249"/>
      <c r="U142" s="249"/>
      <c r="V142" s="249"/>
      <c r="W142" s="249"/>
      <c r="X142" s="249"/>
      <c r="Y142" s="249"/>
      <c r="Z142" s="249"/>
      <c r="AA142" s="249"/>
      <c r="AB142" s="249"/>
      <c r="AC142" s="249"/>
      <c r="AD142" s="249"/>
      <c r="AE142" s="249"/>
      <c r="AF142" s="249"/>
      <c r="AG142" s="249"/>
      <c r="AH142" s="249"/>
      <c r="AI142" s="249"/>
      <c r="AJ142" s="249"/>
      <c r="AK142" s="249"/>
      <c r="AL142" s="249"/>
    </row>
    <row r="143" spans="1:38" ht="15">
      <c r="A143" s="245">
        <v>47027</v>
      </c>
      <c r="B143" s="261">
        <v>498177.95849336288</v>
      </c>
      <c r="C143" s="262">
        <v>498177.95849336288</v>
      </c>
      <c r="D143" s="261">
        <v>487086.80487346387</v>
      </c>
      <c r="E143" s="262">
        <v>487086.80487346387</v>
      </c>
      <c r="F143" s="261">
        <v>420033.27832480404</v>
      </c>
      <c r="G143" s="262">
        <v>420033.27832480404</v>
      </c>
      <c r="H143" s="261">
        <v>104304.72884659072</v>
      </c>
      <c r="I143" s="262">
        <v>104304.72884659072</v>
      </c>
      <c r="J143" s="261">
        <v>7159.5918961231409</v>
      </c>
      <c r="K143" s="261">
        <v>1601018.0928682603</v>
      </c>
      <c r="L143" s="249">
        <f t="shared" si="46"/>
        <v>2028</v>
      </c>
      <c r="M143" s="247">
        <v>781.86573974804185</v>
      </c>
      <c r="N143" s="251">
        <f t="shared" si="47"/>
        <v>1601799.9586080085</v>
      </c>
      <c r="O143" s="277">
        <v>0</v>
      </c>
      <c r="P143" s="277">
        <v>0</v>
      </c>
      <c r="Q143" s="251">
        <f t="shared" si="48"/>
        <v>1601799.9586080085</v>
      </c>
      <c r="R143" s="249"/>
      <c r="S143" s="249"/>
      <c r="T143" s="249"/>
      <c r="U143" s="249"/>
      <c r="V143" s="249"/>
      <c r="W143" s="249"/>
      <c r="X143" s="249"/>
      <c r="Y143" s="249"/>
      <c r="Z143" s="249"/>
      <c r="AA143" s="249"/>
      <c r="AB143" s="249"/>
      <c r="AC143" s="249"/>
      <c r="AD143" s="249"/>
      <c r="AE143" s="249"/>
      <c r="AF143" s="249"/>
      <c r="AG143" s="249"/>
      <c r="AH143" s="249"/>
      <c r="AI143" s="249"/>
      <c r="AJ143" s="249"/>
      <c r="AK143" s="249"/>
      <c r="AL143" s="249"/>
    </row>
    <row r="144" spans="1:38" ht="15">
      <c r="A144" s="245">
        <v>47058</v>
      </c>
      <c r="B144" s="261">
        <v>562732.33081353654</v>
      </c>
      <c r="C144" s="262">
        <v>562732.33081353654</v>
      </c>
      <c r="D144" s="261">
        <v>482635.33987773024</v>
      </c>
      <c r="E144" s="262">
        <v>482635.33987773024</v>
      </c>
      <c r="F144" s="261">
        <v>409716.75222733413</v>
      </c>
      <c r="G144" s="262">
        <v>409716.75222733413</v>
      </c>
      <c r="H144" s="261">
        <v>95634.621325045562</v>
      </c>
      <c r="I144" s="262">
        <v>95634.621325045562</v>
      </c>
      <c r="J144" s="261">
        <v>7173.3074075514387</v>
      </c>
      <c r="K144" s="261">
        <v>1644432.8416295445</v>
      </c>
      <c r="L144" s="249">
        <f t="shared" si="46"/>
        <v>2028</v>
      </c>
      <c r="M144" s="247">
        <v>765.1358921102044</v>
      </c>
      <c r="N144" s="251">
        <f t="shared" si="47"/>
        <v>1645197.9775216547</v>
      </c>
      <c r="O144" s="277">
        <v>0</v>
      </c>
      <c r="P144" s="277">
        <v>0</v>
      </c>
      <c r="Q144" s="251">
        <f t="shared" si="48"/>
        <v>1645197.9775216547</v>
      </c>
      <c r="R144" s="249"/>
      <c r="S144" s="249"/>
      <c r="T144" s="249"/>
      <c r="U144" s="249"/>
      <c r="V144" s="249"/>
      <c r="W144" s="249"/>
      <c r="X144" s="249"/>
      <c r="Y144" s="249"/>
      <c r="Z144" s="249"/>
      <c r="AA144" s="249"/>
      <c r="AB144" s="249"/>
      <c r="AC144" s="249"/>
      <c r="AD144" s="249"/>
      <c r="AE144" s="249"/>
      <c r="AF144" s="249"/>
      <c r="AG144" s="249"/>
      <c r="AH144" s="249"/>
      <c r="AI144" s="249"/>
      <c r="AJ144" s="249"/>
      <c r="AK144" s="249"/>
      <c r="AL144" s="249"/>
    </row>
    <row r="145" spans="1:38" ht="15">
      <c r="A145" s="245">
        <v>47088</v>
      </c>
      <c r="B145" s="261">
        <v>762907.32481842116</v>
      </c>
      <c r="C145" s="262">
        <v>762907.32481842116</v>
      </c>
      <c r="D145" s="261">
        <v>511808.36332166306</v>
      </c>
      <c r="E145" s="262">
        <v>511808.36332166306</v>
      </c>
      <c r="F145" s="261">
        <v>422150.30624592636</v>
      </c>
      <c r="G145" s="262">
        <v>422150.30624592636</v>
      </c>
      <c r="H145" s="261">
        <v>95561.553681059086</v>
      </c>
      <c r="I145" s="262">
        <v>95561.553681059086</v>
      </c>
      <c r="J145" s="261">
        <v>7717.9971035797935</v>
      </c>
      <c r="K145" s="261">
        <v>1900143.1331595047</v>
      </c>
      <c r="L145" s="249">
        <f t="shared" si="46"/>
        <v>2028</v>
      </c>
      <c r="M145" s="247">
        <v>998.77078814783749</v>
      </c>
      <c r="N145" s="251">
        <f t="shared" si="47"/>
        <v>1901141.9039476526</v>
      </c>
      <c r="O145" s="277">
        <v>0</v>
      </c>
      <c r="P145" s="277">
        <v>0</v>
      </c>
      <c r="Q145" s="251">
        <f t="shared" si="48"/>
        <v>1901141.9039476526</v>
      </c>
      <c r="R145" s="249"/>
      <c r="S145" s="249"/>
      <c r="T145" s="249"/>
      <c r="U145" s="249"/>
      <c r="V145" s="249"/>
      <c r="W145" s="249"/>
      <c r="X145" s="249"/>
      <c r="Y145" s="249"/>
      <c r="Z145" s="249"/>
      <c r="AA145" s="249"/>
      <c r="AB145" s="249"/>
      <c r="AC145" s="249"/>
      <c r="AD145" s="249"/>
      <c r="AE145" s="249"/>
      <c r="AF145" s="249"/>
      <c r="AG145" s="249"/>
      <c r="AH145" s="249"/>
      <c r="AI145" s="249"/>
      <c r="AJ145" s="249"/>
      <c r="AK145" s="249"/>
      <c r="AL145" s="249"/>
    </row>
    <row r="146" spans="1:38" ht="15">
      <c r="A146" s="245">
        <v>47119</v>
      </c>
      <c r="B146" s="261">
        <v>757445.14574879478</v>
      </c>
      <c r="C146" s="262">
        <v>757445.14574879478</v>
      </c>
      <c r="D146" s="261">
        <v>518755.78471537627</v>
      </c>
      <c r="E146" s="262">
        <v>518755.78471537627</v>
      </c>
      <c r="F146" s="261">
        <v>423536.34790403949</v>
      </c>
      <c r="G146" s="262">
        <v>423536.34790403949</v>
      </c>
      <c r="H146" s="261">
        <v>94383.90372431936</v>
      </c>
      <c r="I146" s="262">
        <v>94383.90372431936</v>
      </c>
      <c r="J146" s="261">
        <v>7218.3743412149734</v>
      </c>
      <c r="K146" s="261"/>
      <c r="L146" s="249">
        <f t="shared" si="46"/>
        <v>2029</v>
      </c>
      <c r="M146" s="247">
        <v>1042.5210167266348</v>
      </c>
      <c r="N146" s="251">
        <f t="shared" si="47"/>
        <v>1042.5210167266348</v>
      </c>
      <c r="O146" s="277">
        <v>0</v>
      </c>
      <c r="P146" s="277">
        <v>0</v>
      </c>
      <c r="Q146" s="251">
        <f t="shared" si="48"/>
        <v>1042.5210167266348</v>
      </c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49"/>
      <c r="AK146" s="249"/>
      <c r="AL146" s="249"/>
    </row>
    <row r="147" spans="1:38" ht="15">
      <c r="A147" s="245">
        <v>47150</v>
      </c>
      <c r="B147" s="261">
        <v>703142.29861041729</v>
      </c>
      <c r="C147" s="262">
        <v>703142.29861041729</v>
      </c>
      <c r="D147" s="261">
        <v>482106.56398902129</v>
      </c>
      <c r="E147" s="262">
        <v>482106.56398902129</v>
      </c>
      <c r="F147" s="261">
        <v>396758.44714287535</v>
      </c>
      <c r="G147" s="262">
        <v>396758.44714287535</v>
      </c>
      <c r="H147" s="261">
        <v>93356.696242806473</v>
      </c>
      <c r="I147" s="262">
        <v>93356.696242806473</v>
      </c>
      <c r="J147" s="261">
        <v>7579.9244230567992</v>
      </c>
      <c r="K147" s="261"/>
      <c r="L147" s="249">
        <f t="shared" si="46"/>
        <v>2029</v>
      </c>
      <c r="M147" s="247">
        <v>897.92570474048</v>
      </c>
      <c r="N147" s="251">
        <f t="shared" si="47"/>
        <v>897.92570474048</v>
      </c>
      <c r="O147" s="277">
        <v>0</v>
      </c>
      <c r="P147" s="277">
        <v>0</v>
      </c>
      <c r="Q147" s="251">
        <f t="shared" si="48"/>
        <v>897.92570474048</v>
      </c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249"/>
      <c r="AI147" s="249"/>
      <c r="AJ147" s="249"/>
      <c r="AK147" s="249"/>
      <c r="AL147" s="249"/>
    </row>
    <row r="148" spans="1:38" ht="15">
      <c r="A148" s="245">
        <v>47178</v>
      </c>
      <c r="B148" s="261">
        <v>585145.76871792425</v>
      </c>
      <c r="C148" s="262">
        <v>585145.76871792425</v>
      </c>
      <c r="D148" s="261">
        <v>489326.43705352134</v>
      </c>
      <c r="E148" s="262">
        <v>489326.43705352134</v>
      </c>
      <c r="F148" s="261">
        <v>430343.35881730053</v>
      </c>
      <c r="G148" s="262">
        <v>430343.35881730053</v>
      </c>
      <c r="H148" s="261">
        <v>97000.521443171732</v>
      </c>
      <c r="I148" s="262">
        <v>97000.521443171732</v>
      </c>
      <c r="J148" s="261">
        <v>7348.8057505849747</v>
      </c>
      <c r="K148" s="261"/>
      <c r="L148" s="249">
        <f t="shared" si="46"/>
        <v>2029</v>
      </c>
      <c r="M148" s="247">
        <v>1039.2360392851597</v>
      </c>
      <c r="N148" s="251">
        <f t="shared" si="47"/>
        <v>1039.2360392851597</v>
      </c>
      <c r="O148" s="277">
        <v>0</v>
      </c>
      <c r="P148" s="277">
        <v>0</v>
      </c>
      <c r="Q148" s="251">
        <f t="shared" si="48"/>
        <v>1039.2360392851597</v>
      </c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249"/>
      <c r="AI148" s="249"/>
      <c r="AJ148" s="249"/>
      <c r="AK148" s="249"/>
      <c r="AL148" s="249"/>
    </row>
    <row r="149" spans="1:38" ht="15">
      <c r="A149" s="245">
        <v>47209</v>
      </c>
      <c r="B149" s="261">
        <v>508736.88549252</v>
      </c>
      <c r="C149" s="262">
        <v>508736.88549252</v>
      </c>
      <c r="D149" s="261">
        <v>461578.75297211116</v>
      </c>
      <c r="E149" s="262">
        <v>461578.75297211116</v>
      </c>
      <c r="F149" s="261">
        <v>408007.45061797241</v>
      </c>
      <c r="G149" s="262">
        <v>408007.45061797241</v>
      </c>
      <c r="H149" s="261">
        <v>93453.782975602211</v>
      </c>
      <c r="I149" s="262">
        <v>93453.782975602211</v>
      </c>
      <c r="J149" s="261">
        <v>7439.574107254195</v>
      </c>
      <c r="K149" s="261"/>
      <c r="L149" s="249">
        <f t="shared" si="46"/>
        <v>2029</v>
      </c>
      <c r="M149" s="247">
        <v>829.41328980328501</v>
      </c>
      <c r="N149" s="251">
        <f t="shared" si="47"/>
        <v>829.41328980328501</v>
      </c>
      <c r="O149" s="277">
        <v>0</v>
      </c>
      <c r="P149" s="277">
        <v>0</v>
      </c>
      <c r="Q149" s="251">
        <f t="shared" si="48"/>
        <v>829.41328980328501</v>
      </c>
      <c r="R149" s="249"/>
      <c r="S149" s="249"/>
      <c r="T149" s="249"/>
      <c r="U149" s="249"/>
      <c r="V149" s="249"/>
      <c r="W149" s="249"/>
      <c r="X149" s="249"/>
      <c r="Y149" s="249"/>
      <c r="Z149" s="249"/>
      <c r="AA149" s="249"/>
      <c r="AB149" s="249"/>
      <c r="AC149" s="249"/>
      <c r="AD149" s="249"/>
      <c r="AE149" s="249"/>
      <c r="AF149" s="249"/>
      <c r="AG149" s="249"/>
      <c r="AH149" s="249"/>
      <c r="AI149" s="249"/>
      <c r="AJ149" s="249"/>
      <c r="AK149" s="249"/>
      <c r="AL149" s="249"/>
    </row>
    <row r="150" spans="1:38" ht="15">
      <c r="A150" s="245">
        <v>47239</v>
      </c>
      <c r="B150" s="261">
        <v>505846.04874092317</v>
      </c>
      <c r="C150" s="262">
        <v>505846.04874092317</v>
      </c>
      <c r="D150" s="261">
        <v>475452.61905266333</v>
      </c>
      <c r="E150" s="262">
        <v>475452.61905266333</v>
      </c>
      <c r="F150" s="261">
        <v>388717.64083870972</v>
      </c>
      <c r="G150" s="262">
        <v>388717.64083870972</v>
      </c>
      <c r="H150" s="261">
        <v>95879.545515269987</v>
      </c>
      <c r="I150" s="262">
        <v>95879.545515269987</v>
      </c>
      <c r="J150" s="261">
        <v>7337.6954814782257</v>
      </c>
      <c r="K150" s="261"/>
      <c r="L150" s="249">
        <f t="shared" si="46"/>
        <v>2029</v>
      </c>
      <c r="M150" s="247">
        <v>846.85524935654178</v>
      </c>
      <c r="N150" s="251">
        <f t="shared" si="47"/>
        <v>846.85524935654178</v>
      </c>
      <c r="O150" s="277">
        <v>0</v>
      </c>
      <c r="P150" s="277">
        <v>0</v>
      </c>
      <c r="Q150" s="251">
        <f t="shared" si="48"/>
        <v>846.85524935654178</v>
      </c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49"/>
      <c r="AG150" s="249"/>
      <c r="AH150" s="249"/>
      <c r="AI150" s="249"/>
      <c r="AJ150" s="249"/>
      <c r="AK150" s="249"/>
      <c r="AL150" s="249"/>
    </row>
    <row r="151" spans="1:38" ht="15">
      <c r="A151" s="245">
        <v>47270</v>
      </c>
      <c r="B151" s="261">
        <v>673996.21343305963</v>
      </c>
      <c r="C151" s="262">
        <v>673996.21343305963</v>
      </c>
      <c r="D151" s="261">
        <v>556388.70118456811</v>
      </c>
      <c r="E151" s="262">
        <v>556388.70118456811</v>
      </c>
      <c r="F151" s="261">
        <v>462622.54787455086</v>
      </c>
      <c r="G151" s="262">
        <v>462622.54787455086</v>
      </c>
      <c r="H151" s="261">
        <v>97934.087301325184</v>
      </c>
      <c r="I151" s="262">
        <v>97934.087301325184</v>
      </c>
      <c r="J151" s="261">
        <v>7174.1270655012786</v>
      </c>
      <c r="K151" s="261"/>
      <c r="L151" s="249">
        <f t="shared" si="46"/>
        <v>2029</v>
      </c>
      <c r="M151" s="247">
        <v>771.49315914674287</v>
      </c>
      <c r="N151" s="251">
        <f t="shared" si="47"/>
        <v>771.49315914674287</v>
      </c>
      <c r="O151" s="277">
        <v>0</v>
      </c>
      <c r="P151" s="277">
        <v>0</v>
      </c>
      <c r="Q151" s="251">
        <f t="shared" si="48"/>
        <v>771.49315914674287</v>
      </c>
      <c r="R151" s="249"/>
      <c r="S151" s="249"/>
      <c r="T151" s="249"/>
      <c r="U151" s="249"/>
      <c r="V151" s="249"/>
      <c r="W151" s="249"/>
      <c r="X151" s="249"/>
      <c r="Y151" s="249"/>
      <c r="Z151" s="249"/>
      <c r="AA151" s="249"/>
      <c r="AB151" s="249"/>
      <c r="AC151" s="249"/>
      <c r="AD151" s="249"/>
      <c r="AE151" s="249"/>
      <c r="AF151" s="249"/>
      <c r="AG151" s="249"/>
      <c r="AH151" s="249"/>
      <c r="AI151" s="249"/>
      <c r="AJ151" s="249"/>
      <c r="AK151" s="249"/>
      <c r="AL151" s="249"/>
    </row>
    <row r="152" spans="1:38" ht="15">
      <c r="A152" s="245">
        <v>47300</v>
      </c>
      <c r="B152" s="261">
        <v>782720.66894580622</v>
      </c>
      <c r="C152" s="262">
        <v>782720.66894580622</v>
      </c>
      <c r="D152" s="261">
        <v>615959.60096373211</v>
      </c>
      <c r="E152" s="262">
        <v>615959.60096373211</v>
      </c>
      <c r="F152" s="261">
        <v>446582.70701456501</v>
      </c>
      <c r="G152" s="262">
        <v>446582.70701456501</v>
      </c>
      <c r="H152" s="261">
        <v>113842.07770903804</v>
      </c>
      <c r="I152" s="262">
        <v>113842.07770903804</v>
      </c>
      <c r="J152" s="261">
        <v>7290.9039100796672</v>
      </c>
      <c r="K152" s="261"/>
      <c r="L152" s="249">
        <f t="shared" si="46"/>
        <v>2029</v>
      </c>
      <c r="M152" s="247">
        <v>879.61962780390309</v>
      </c>
      <c r="N152" s="251">
        <f t="shared" si="47"/>
        <v>879.61962780390309</v>
      </c>
      <c r="O152" s="277">
        <v>0</v>
      </c>
      <c r="P152" s="277">
        <v>0</v>
      </c>
      <c r="Q152" s="251">
        <f t="shared" si="48"/>
        <v>879.61962780390309</v>
      </c>
      <c r="R152" s="249"/>
      <c r="S152" s="249"/>
      <c r="T152" s="249"/>
      <c r="U152" s="249"/>
      <c r="V152" s="249"/>
      <c r="W152" s="249"/>
      <c r="X152" s="249"/>
      <c r="Y152" s="249"/>
      <c r="Z152" s="249"/>
      <c r="AA152" s="249"/>
      <c r="AB152" s="249"/>
      <c r="AC152" s="249"/>
      <c r="AD152" s="249"/>
      <c r="AE152" s="249"/>
      <c r="AF152" s="249"/>
      <c r="AG152" s="249"/>
      <c r="AH152" s="249"/>
      <c r="AI152" s="249"/>
      <c r="AJ152" s="249"/>
      <c r="AK152" s="249"/>
      <c r="AL152" s="249"/>
    </row>
    <row r="153" spans="1:38" ht="15">
      <c r="A153" s="245">
        <v>47331</v>
      </c>
      <c r="B153" s="261">
        <v>777297.50470346888</v>
      </c>
      <c r="C153" s="262">
        <v>777297.50470346888</v>
      </c>
      <c r="D153" s="261">
        <v>598786.44132405799</v>
      </c>
      <c r="E153" s="262">
        <v>598786.44132405799</v>
      </c>
      <c r="F153" s="261">
        <v>480759.03842677036</v>
      </c>
      <c r="G153" s="262">
        <v>480759.03842677036</v>
      </c>
      <c r="H153" s="261">
        <v>112708.64770476581</v>
      </c>
      <c r="I153" s="262">
        <v>112708.64770476581</v>
      </c>
      <c r="J153" s="261">
        <v>7472.2472976575782</v>
      </c>
      <c r="K153" s="261"/>
      <c r="L153" s="249">
        <f t="shared" si="46"/>
        <v>2029</v>
      </c>
      <c r="M153" s="247">
        <v>833.74439534870021</v>
      </c>
      <c r="N153" s="251">
        <f t="shared" si="47"/>
        <v>833.74439534870021</v>
      </c>
      <c r="O153" s="277">
        <v>0</v>
      </c>
      <c r="P153" s="277">
        <v>0</v>
      </c>
      <c r="Q153" s="251">
        <f t="shared" si="48"/>
        <v>833.74439534870021</v>
      </c>
      <c r="R153" s="249"/>
      <c r="S153" s="249"/>
      <c r="T153" s="249"/>
      <c r="U153" s="249"/>
      <c r="V153" s="249"/>
      <c r="W153" s="249"/>
      <c r="X153" s="249"/>
      <c r="Y153" s="249"/>
      <c r="Z153" s="249"/>
      <c r="AA153" s="249"/>
      <c r="AB153" s="249"/>
      <c r="AC153" s="249"/>
      <c r="AD153" s="249"/>
      <c r="AE153" s="249"/>
      <c r="AF153" s="249"/>
      <c r="AG153" s="249"/>
      <c r="AH153" s="249"/>
      <c r="AI153" s="249"/>
      <c r="AJ153" s="249"/>
      <c r="AK153" s="249"/>
      <c r="AL153" s="249"/>
    </row>
    <row r="154" spans="1:38" ht="15">
      <c r="A154" s="245">
        <v>47362</v>
      </c>
      <c r="B154" s="261">
        <v>606337.0352478351</v>
      </c>
      <c r="C154" s="262">
        <v>606337.0352478351</v>
      </c>
      <c r="D154" s="261">
        <v>539349.50944433128</v>
      </c>
      <c r="E154" s="262">
        <v>539349.50944433128</v>
      </c>
      <c r="F154" s="261">
        <v>435114.77826926339</v>
      </c>
      <c r="G154" s="262">
        <v>435114.77826926339</v>
      </c>
      <c r="H154" s="261">
        <v>104668.16504791152</v>
      </c>
      <c r="I154" s="262">
        <v>104668.16504791152</v>
      </c>
      <c r="J154" s="261">
        <v>7592.619957066504</v>
      </c>
      <c r="K154" s="261"/>
      <c r="L154" s="249">
        <f t="shared" si="46"/>
        <v>2029</v>
      </c>
      <c r="M154" s="247">
        <v>895.66331237259215</v>
      </c>
      <c r="N154" s="251">
        <f t="shared" si="47"/>
        <v>895.66331237259215</v>
      </c>
      <c r="O154" s="277">
        <v>0</v>
      </c>
      <c r="P154" s="277">
        <v>0</v>
      </c>
      <c r="Q154" s="251">
        <f t="shared" si="48"/>
        <v>895.66331237259215</v>
      </c>
      <c r="R154" s="249"/>
      <c r="S154" s="249"/>
      <c r="T154" s="249"/>
      <c r="U154" s="249"/>
      <c r="V154" s="249"/>
      <c r="W154" s="249"/>
      <c r="X154" s="249"/>
      <c r="Y154" s="249"/>
      <c r="Z154" s="249"/>
      <c r="AA154" s="249"/>
      <c r="AB154" s="249"/>
      <c r="AC154" s="249"/>
      <c r="AD154" s="249"/>
      <c r="AE154" s="249"/>
      <c r="AF154" s="249"/>
      <c r="AG154" s="249"/>
      <c r="AH154" s="249"/>
      <c r="AI154" s="249"/>
      <c r="AJ154" s="249"/>
      <c r="AK154" s="249"/>
      <c r="AL154" s="249"/>
    </row>
    <row r="155" spans="1:38" ht="15">
      <c r="A155" s="245">
        <v>47392</v>
      </c>
      <c r="B155" s="261">
        <v>501692.76062880567</v>
      </c>
      <c r="C155" s="262">
        <v>501692.76062880567</v>
      </c>
      <c r="D155" s="261">
        <v>488323.52505955682</v>
      </c>
      <c r="E155" s="262">
        <v>488323.52505955682</v>
      </c>
      <c r="F155" s="261">
        <v>420332.77580388909</v>
      </c>
      <c r="G155" s="262">
        <v>420332.77580388909</v>
      </c>
      <c r="H155" s="261">
        <v>104343.73975122056</v>
      </c>
      <c r="I155" s="262">
        <v>104343.73975122056</v>
      </c>
      <c r="J155" s="261">
        <v>7138.1821875474834</v>
      </c>
      <c r="K155" s="261"/>
      <c r="L155" s="249">
        <f t="shared" ref="L155:L169" si="49">YEAR(A155)</f>
        <v>2029</v>
      </c>
      <c r="M155" s="247">
        <v>781.86573975805061</v>
      </c>
      <c r="N155" s="251">
        <f t="shared" ref="N155:N181" si="50">K155+M155</f>
        <v>781.86573975805061</v>
      </c>
      <c r="O155" s="277">
        <v>0</v>
      </c>
      <c r="P155" s="277">
        <v>0</v>
      </c>
      <c r="Q155" s="251">
        <f t="shared" si="48"/>
        <v>781.86573975805061</v>
      </c>
      <c r="R155" s="249"/>
      <c r="S155" s="249"/>
      <c r="T155" s="249"/>
      <c r="U155" s="249"/>
      <c r="V155" s="249"/>
      <c r="W155" s="249"/>
      <c r="X155" s="249"/>
      <c r="Y155" s="249"/>
      <c r="Z155" s="249"/>
      <c r="AA155" s="249"/>
      <c r="AB155" s="249"/>
      <c r="AC155" s="249"/>
      <c r="AD155" s="249"/>
      <c r="AE155" s="249"/>
      <c r="AF155" s="249"/>
      <c r="AG155" s="249"/>
      <c r="AH155" s="249"/>
      <c r="AI155" s="249"/>
      <c r="AJ155" s="249"/>
      <c r="AK155" s="249"/>
      <c r="AL155" s="249"/>
    </row>
    <row r="156" spans="1:38" ht="15">
      <c r="A156" s="245">
        <v>47423</v>
      </c>
      <c r="B156" s="261">
        <v>565946.90823882527</v>
      </c>
      <c r="C156" s="262">
        <v>565946.90823882527</v>
      </c>
      <c r="D156" s="261">
        <v>483921.92402586812</v>
      </c>
      <c r="E156" s="262">
        <v>483921.92402586812</v>
      </c>
      <c r="F156" s="261">
        <v>410055.30561887223</v>
      </c>
      <c r="G156" s="262">
        <v>410055.30561887223</v>
      </c>
      <c r="H156" s="261">
        <v>95672.541351249514</v>
      </c>
      <c r="I156" s="262">
        <v>95672.541351249514</v>
      </c>
      <c r="J156" s="261">
        <v>7151.9583614092626</v>
      </c>
      <c r="K156" s="261"/>
      <c r="L156" s="249">
        <f t="shared" si="49"/>
        <v>2029</v>
      </c>
      <c r="M156" s="247">
        <v>765.13589211699275</v>
      </c>
      <c r="N156" s="251">
        <f t="shared" si="50"/>
        <v>765.13589211699275</v>
      </c>
      <c r="O156" s="277">
        <v>0</v>
      </c>
      <c r="P156" s="277">
        <v>0</v>
      </c>
      <c r="Q156" s="251">
        <f t="shared" si="48"/>
        <v>765.13589211699275</v>
      </c>
      <c r="R156" s="249"/>
      <c r="S156" s="249"/>
      <c r="T156" s="249"/>
      <c r="U156" s="249"/>
      <c r="V156" s="249"/>
      <c r="W156" s="249"/>
      <c r="X156" s="249"/>
      <c r="Y156" s="249"/>
      <c r="Z156" s="249"/>
      <c r="AA156" s="249"/>
      <c r="AB156" s="249"/>
      <c r="AC156" s="249"/>
      <c r="AD156" s="249"/>
      <c r="AE156" s="249"/>
      <c r="AF156" s="249"/>
      <c r="AG156" s="249"/>
      <c r="AH156" s="249"/>
      <c r="AI156" s="249"/>
      <c r="AJ156" s="249"/>
      <c r="AK156" s="249"/>
      <c r="AL156" s="249"/>
    </row>
    <row r="157" spans="1:38" ht="15">
      <c r="A157" s="245">
        <v>47453</v>
      </c>
      <c r="B157" s="261">
        <v>766222.95952499891</v>
      </c>
      <c r="C157" s="262">
        <v>766222.95952499891</v>
      </c>
      <c r="D157" s="261">
        <v>513401.7216767738</v>
      </c>
      <c r="E157" s="262">
        <v>513401.7216767738</v>
      </c>
      <c r="F157" s="261">
        <v>422547.50527473225</v>
      </c>
      <c r="G157" s="262">
        <v>422547.50527473225</v>
      </c>
      <c r="H157" s="261">
        <v>95598.981119688135</v>
      </c>
      <c r="I157" s="262">
        <v>95598.981119688135</v>
      </c>
      <c r="J157" s="261">
        <v>7696.7083770467489</v>
      </c>
      <c r="K157" s="261"/>
      <c r="L157" s="249">
        <f t="shared" si="49"/>
        <v>2029</v>
      </c>
      <c r="M157" s="247">
        <v>998.77078815244079</v>
      </c>
      <c r="N157" s="251">
        <f t="shared" si="50"/>
        <v>998.77078815244079</v>
      </c>
      <c r="O157" s="277">
        <v>0</v>
      </c>
      <c r="P157" s="277">
        <v>0</v>
      </c>
      <c r="Q157" s="251">
        <f t="shared" si="48"/>
        <v>998.77078815244079</v>
      </c>
      <c r="R157" s="249"/>
      <c r="S157" s="249"/>
      <c r="T157" s="249"/>
      <c r="U157" s="249"/>
      <c r="V157" s="249"/>
      <c r="W157" s="249"/>
      <c r="X157" s="249"/>
      <c r="Y157" s="249"/>
      <c r="Z157" s="249"/>
      <c r="AA157" s="249"/>
      <c r="AB157" s="249"/>
      <c r="AC157" s="249"/>
      <c r="AD157" s="249"/>
      <c r="AE157" s="249"/>
      <c r="AF157" s="249"/>
      <c r="AG157" s="249"/>
      <c r="AH157" s="249"/>
      <c r="AI157" s="249"/>
      <c r="AJ157" s="249"/>
      <c r="AK157" s="249"/>
      <c r="AL157" s="249"/>
    </row>
    <row r="158" spans="1:38" ht="15">
      <c r="A158" s="245">
        <v>47484</v>
      </c>
      <c r="B158" s="261">
        <v>759754.84342264361</v>
      </c>
      <c r="C158" s="262">
        <v>759754.84342264361</v>
      </c>
      <c r="D158" s="261">
        <v>519557.36725355696</v>
      </c>
      <c r="E158" s="262">
        <v>519557.36725355696</v>
      </c>
      <c r="F158" s="261">
        <v>423992.51259880984</v>
      </c>
      <c r="G158" s="262">
        <v>423992.51259880984</v>
      </c>
      <c r="H158" s="261">
        <v>94421.185148365592</v>
      </c>
      <c r="I158" s="262">
        <v>94421.185148365592</v>
      </c>
      <c r="J158" s="261">
        <v>7197.1455943649698</v>
      </c>
      <c r="K158" s="261"/>
      <c r="L158" s="249">
        <f t="shared" si="49"/>
        <v>2030</v>
      </c>
      <c r="M158" s="247">
        <v>1042.5210167297587</v>
      </c>
      <c r="N158" s="251">
        <f t="shared" si="50"/>
        <v>1042.5210167297587</v>
      </c>
      <c r="O158" s="277">
        <v>0</v>
      </c>
      <c r="P158" s="277">
        <v>0</v>
      </c>
      <c r="Q158" s="251">
        <f t="shared" ref="Q158:Q169" si="51">K158+M158-O158-P158</f>
        <v>1042.5210167297587</v>
      </c>
      <c r="R158" s="249"/>
      <c r="S158" s="249"/>
      <c r="T158" s="249"/>
      <c r="U158" s="249"/>
      <c r="V158" s="249"/>
      <c r="W158" s="249"/>
      <c r="X158" s="249"/>
      <c r="Y158" s="249"/>
      <c r="Z158" s="249"/>
      <c r="AA158" s="249"/>
      <c r="AB158" s="249"/>
      <c r="AC158" s="249"/>
      <c r="AD158" s="249"/>
      <c r="AE158" s="249"/>
      <c r="AF158" s="249"/>
      <c r="AG158" s="249"/>
      <c r="AH158" s="249"/>
      <c r="AI158" s="249"/>
      <c r="AJ158" s="249"/>
      <c r="AK158" s="249"/>
      <c r="AL158" s="249"/>
    </row>
    <row r="159" spans="1:38" ht="15">
      <c r="A159" s="245">
        <v>47515</v>
      </c>
      <c r="B159" s="261">
        <v>705319.63865273609</v>
      </c>
      <c r="C159" s="262">
        <v>705319.63865273609</v>
      </c>
      <c r="D159" s="261">
        <v>482958.13127424795</v>
      </c>
      <c r="E159" s="262">
        <v>482958.13127424795</v>
      </c>
      <c r="F159" s="261">
        <v>397166.05678524141</v>
      </c>
      <c r="G159" s="262">
        <v>397166.05678524141</v>
      </c>
      <c r="H159" s="261">
        <v>93393.796703449174</v>
      </c>
      <c r="I159" s="262">
        <v>93393.796703449174</v>
      </c>
      <c r="J159" s="261">
        <v>7558.7553188291549</v>
      </c>
      <c r="K159" s="261"/>
      <c r="L159" s="249">
        <f t="shared" si="49"/>
        <v>2030</v>
      </c>
      <c r="M159" s="247">
        <v>897.92570474259946</v>
      </c>
      <c r="N159" s="251">
        <f t="shared" si="50"/>
        <v>897.92570474259946</v>
      </c>
      <c r="O159" s="277">
        <v>0</v>
      </c>
      <c r="P159" s="277">
        <v>0</v>
      </c>
      <c r="Q159" s="251">
        <f t="shared" si="51"/>
        <v>897.92570474259946</v>
      </c>
      <c r="R159" s="249"/>
      <c r="S159" s="249"/>
      <c r="T159" s="249"/>
      <c r="U159" s="249"/>
      <c r="V159" s="249"/>
      <c r="W159" s="249"/>
      <c r="X159" s="249"/>
      <c r="Y159" s="249"/>
      <c r="Z159" s="249"/>
      <c r="AA159" s="249"/>
      <c r="AB159" s="249"/>
      <c r="AC159" s="249"/>
      <c r="AD159" s="249"/>
      <c r="AE159" s="249"/>
      <c r="AF159" s="249"/>
      <c r="AG159" s="249"/>
      <c r="AH159" s="249"/>
      <c r="AI159" s="249"/>
      <c r="AJ159" s="249"/>
      <c r="AK159" s="249"/>
      <c r="AL159" s="249"/>
    </row>
    <row r="160" spans="1:38" ht="15">
      <c r="A160" s="245">
        <v>47543</v>
      </c>
      <c r="B160" s="261">
        <v>587952.90326260228</v>
      </c>
      <c r="C160" s="262">
        <v>587952.90326260228</v>
      </c>
      <c r="D160" s="261">
        <v>490253.9667638145</v>
      </c>
      <c r="E160" s="262">
        <v>490253.9667638145</v>
      </c>
      <c r="F160" s="261">
        <v>430741.56862069922</v>
      </c>
      <c r="G160" s="262">
        <v>430741.56862069922</v>
      </c>
      <c r="H160" s="261">
        <v>97037.134153524952</v>
      </c>
      <c r="I160" s="262">
        <v>97037.134153524952</v>
      </c>
      <c r="J160" s="261">
        <v>7327.6959547528077</v>
      </c>
      <c r="K160" s="261"/>
      <c r="L160" s="249">
        <f t="shared" si="49"/>
        <v>2030</v>
      </c>
      <c r="M160" s="247">
        <v>1039.236039286594</v>
      </c>
      <c r="N160" s="251">
        <f t="shared" si="50"/>
        <v>1039.236039286594</v>
      </c>
      <c r="O160" s="277">
        <v>0</v>
      </c>
      <c r="P160" s="277">
        <v>0</v>
      </c>
      <c r="Q160" s="251">
        <f t="shared" si="51"/>
        <v>1039.236039286594</v>
      </c>
      <c r="R160" s="249"/>
      <c r="S160" s="249"/>
      <c r="T160" s="249"/>
      <c r="U160" s="249"/>
      <c r="V160" s="249"/>
      <c r="W160" s="249"/>
      <c r="X160" s="249"/>
      <c r="Y160" s="249"/>
      <c r="Z160" s="249"/>
      <c r="AA160" s="249"/>
      <c r="AB160" s="249"/>
      <c r="AC160" s="249"/>
      <c r="AD160" s="249"/>
      <c r="AE160" s="249"/>
      <c r="AF160" s="249"/>
      <c r="AG160" s="249"/>
      <c r="AH160" s="249"/>
      <c r="AI160" s="249"/>
      <c r="AJ160" s="249"/>
      <c r="AK160" s="249"/>
      <c r="AL160" s="249"/>
    </row>
    <row r="161" spans="1:38" ht="15">
      <c r="A161" s="245">
        <v>47574</v>
      </c>
      <c r="B161" s="261">
        <v>511857.0580165502</v>
      </c>
      <c r="C161" s="262">
        <v>511857.0580165502</v>
      </c>
      <c r="D161" s="261">
        <v>462414.5469023101</v>
      </c>
      <c r="E161" s="262">
        <v>462414.5469023101</v>
      </c>
      <c r="F161" s="261">
        <v>408349.70884327148</v>
      </c>
      <c r="G161" s="262">
        <v>408349.70884327148</v>
      </c>
      <c r="H161" s="261">
        <v>93489.659921431798</v>
      </c>
      <c r="I161" s="262">
        <v>93489.659921431798</v>
      </c>
      <c r="J161" s="261">
        <v>7418.5232883922981</v>
      </c>
      <c r="K161" s="261"/>
      <c r="L161" s="249">
        <f t="shared" si="49"/>
        <v>2030</v>
      </c>
      <c r="M161" s="247">
        <v>829.41328980425862</v>
      </c>
      <c r="N161" s="251">
        <f t="shared" si="50"/>
        <v>829.41328980425862</v>
      </c>
      <c r="O161" s="277">
        <v>0</v>
      </c>
      <c r="P161" s="277">
        <v>0</v>
      </c>
      <c r="Q161" s="251">
        <f t="shared" si="51"/>
        <v>829.41328980425862</v>
      </c>
      <c r="R161" s="249"/>
      <c r="S161" s="249"/>
      <c r="T161" s="249"/>
      <c r="U161" s="249"/>
      <c r="V161" s="249"/>
      <c r="W161" s="249"/>
      <c r="X161" s="249"/>
      <c r="Y161" s="249"/>
      <c r="Z161" s="249"/>
      <c r="AA161" s="249"/>
      <c r="AB161" s="249"/>
      <c r="AC161" s="249"/>
      <c r="AD161" s="249"/>
      <c r="AE161" s="249"/>
      <c r="AF161" s="249"/>
      <c r="AG161" s="249"/>
      <c r="AH161" s="249"/>
      <c r="AI161" s="249"/>
      <c r="AJ161" s="249"/>
      <c r="AK161" s="249"/>
      <c r="AL161" s="249"/>
    </row>
    <row r="162" spans="1:38" ht="15">
      <c r="A162" s="245">
        <v>47604</v>
      </c>
      <c r="B162" s="261">
        <v>509233.658263641</v>
      </c>
      <c r="C162" s="262">
        <v>509233.658263641</v>
      </c>
      <c r="D162" s="261">
        <v>476332.23628516245</v>
      </c>
      <c r="E162" s="262">
        <v>476332.23628516245</v>
      </c>
      <c r="F162" s="261">
        <v>389032.26570378488</v>
      </c>
      <c r="G162" s="262">
        <v>389032.26570378488</v>
      </c>
      <c r="H162" s="261">
        <v>95914.649393348067</v>
      </c>
      <c r="I162" s="262">
        <v>95914.649393348067</v>
      </c>
      <c r="J162" s="261">
        <v>7316.7033109321237</v>
      </c>
      <c r="K162" s="261"/>
      <c r="L162" s="249">
        <f t="shared" si="49"/>
        <v>2030</v>
      </c>
      <c r="M162" s="247">
        <v>846.85524935720298</v>
      </c>
      <c r="N162" s="251">
        <f t="shared" si="50"/>
        <v>846.85524935720298</v>
      </c>
      <c r="O162" s="277">
        <v>0</v>
      </c>
      <c r="P162" s="277">
        <v>0</v>
      </c>
      <c r="Q162" s="251">
        <f t="shared" si="51"/>
        <v>846.85524935720298</v>
      </c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49"/>
      <c r="AC162" s="249"/>
      <c r="AD162" s="249"/>
      <c r="AE162" s="249"/>
      <c r="AF162" s="249"/>
      <c r="AG162" s="249"/>
      <c r="AH162" s="249"/>
      <c r="AI162" s="249"/>
      <c r="AJ162" s="249"/>
      <c r="AK162" s="249"/>
      <c r="AL162" s="249"/>
    </row>
    <row r="163" spans="1:38" ht="15">
      <c r="A163" s="245">
        <v>47635</v>
      </c>
      <c r="B163" s="261">
        <v>677726.15022390033</v>
      </c>
      <c r="C163" s="262">
        <v>677726.15022390033</v>
      </c>
      <c r="D163" s="261">
        <v>557639.05663086311</v>
      </c>
      <c r="E163" s="262">
        <v>557639.05663086311</v>
      </c>
      <c r="F163" s="261">
        <v>462926.19413926947</v>
      </c>
      <c r="G163" s="262">
        <v>462926.19413926947</v>
      </c>
      <c r="H163" s="261">
        <v>97968.508435084863</v>
      </c>
      <c r="I163" s="262">
        <v>97968.508435084863</v>
      </c>
      <c r="J163" s="261">
        <v>7153.1932173559826</v>
      </c>
      <c r="K163" s="261"/>
      <c r="L163" s="249">
        <f t="shared" si="49"/>
        <v>2030</v>
      </c>
      <c r="M163" s="247">
        <v>771.49315914719318</v>
      </c>
      <c r="N163" s="251">
        <f t="shared" si="50"/>
        <v>771.49315914719318</v>
      </c>
      <c r="O163" s="277">
        <v>0</v>
      </c>
      <c r="P163" s="277">
        <v>0</v>
      </c>
      <c r="Q163" s="251">
        <f t="shared" si="51"/>
        <v>771.49315914719318</v>
      </c>
      <c r="R163" s="249"/>
      <c r="S163" s="249"/>
      <c r="T163" s="249"/>
      <c r="U163" s="249"/>
      <c r="V163" s="249"/>
      <c r="W163" s="249"/>
      <c r="X163" s="249"/>
      <c r="Y163" s="249"/>
      <c r="Z163" s="249"/>
      <c r="AA163" s="249"/>
      <c r="AB163" s="249"/>
      <c r="AC163" s="249"/>
      <c r="AD163" s="249"/>
      <c r="AE163" s="249"/>
      <c r="AF163" s="249"/>
      <c r="AG163" s="249"/>
      <c r="AH163" s="249"/>
      <c r="AI163" s="249"/>
      <c r="AJ163" s="249"/>
      <c r="AK163" s="249"/>
      <c r="AL163" s="249"/>
    </row>
    <row r="164" spans="1:38" ht="15">
      <c r="A164" s="245">
        <v>47665</v>
      </c>
      <c r="B164" s="261">
        <v>786740.46256341517</v>
      </c>
      <c r="C164" s="262">
        <v>786740.46256341517</v>
      </c>
      <c r="D164" s="261">
        <v>617529.15772352449</v>
      </c>
      <c r="E164" s="262">
        <v>617529.15772352449</v>
      </c>
      <c r="F164" s="261">
        <v>446903.26266377291</v>
      </c>
      <c r="G164" s="262">
        <v>446903.26266377291</v>
      </c>
      <c r="H164" s="261">
        <v>113875.79903349177</v>
      </c>
      <c r="I164" s="262">
        <v>113875.79903349177</v>
      </c>
      <c r="J164" s="261">
        <v>7270.0280611299959</v>
      </c>
      <c r="K164" s="261"/>
      <c r="L164" s="249">
        <f t="shared" si="49"/>
        <v>2030</v>
      </c>
      <c r="M164" s="247">
        <v>879.61962780420731</v>
      </c>
      <c r="N164" s="251">
        <f t="shared" si="50"/>
        <v>879.61962780420731</v>
      </c>
      <c r="O164" s="277">
        <v>0</v>
      </c>
      <c r="P164" s="277">
        <v>0</v>
      </c>
      <c r="Q164" s="251">
        <f t="shared" si="51"/>
        <v>879.61962780420731</v>
      </c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49"/>
      <c r="AD164" s="249"/>
      <c r="AE164" s="249"/>
      <c r="AF164" s="249"/>
      <c r="AG164" s="249"/>
      <c r="AH164" s="249"/>
      <c r="AI164" s="249"/>
      <c r="AJ164" s="249"/>
      <c r="AK164" s="249"/>
      <c r="AL164" s="249"/>
    </row>
    <row r="165" spans="1:38" ht="15">
      <c r="A165" s="245">
        <v>47696</v>
      </c>
      <c r="B165" s="261">
        <v>781462.52426269546</v>
      </c>
      <c r="C165" s="262">
        <v>781462.52426269546</v>
      </c>
      <c r="D165" s="261">
        <v>600353.53737958777</v>
      </c>
      <c r="E165" s="262">
        <v>600353.53737958777</v>
      </c>
      <c r="F165" s="261">
        <v>481088.26304561918</v>
      </c>
      <c r="G165" s="262">
        <v>481088.26304561918</v>
      </c>
      <c r="H165" s="261">
        <v>112741.45093385324</v>
      </c>
      <c r="I165" s="262">
        <v>112741.45093385324</v>
      </c>
      <c r="J165" s="261">
        <v>7451.4291273776853</v>
      </c>
      <c r="K165" s="261"/>
      <c r="L165" s="249">
        <f t="shared" si="49"/>
        <v>2030</v>
      </c>
      <c r="M165" s="247">
        <v>833.74439534890519</v>
      </c>
      <c r="N165" s="251">
        <f t="shared" si="50"/>
        <v>833.74439534890519</v>
      </c>
      <c r="O165" s="277">
        <v>0</v>
      </c>
      <c r="P165" s="277">
        <v>0</v>
      </c>
      <c r="Q165" s="251">
        <f t="shared" si="51"/>
        <v>833.74439534890519</v>
      </c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49"/>
      <c r="AK165" s="249"/>
      <c r="AL165" s="249"/>
    </row>
    <row r="166" spans="1:38" ht="15">
      <c r="A166" s="245">
        <v>47727</v>
      </c>
      <c r="B166" s="261">
        <v>610194.89776133886</v>
      </c>
      <c r="C166" s="262">
        <v>610194.89776133886</v>
      </c>
      <c r="D166" s="261">
        <v>540536.15952473099</v>
      </c>
      <c r="E166" s="262">
        <v>540536.15952473099</v>
      </c>
      <c r="F166" s="261">
        <v>435446.09367006173</v>
      </c>
      <c r="G166" s="262">
        <v>435446.09367006173</v>
      </c>
      <c r="H166" s="261">
        <v>104699.75674233733</v>
      </c>
      <c r="I166" s="262">
        <v>104699.75674233733</v>
      </c>
      <c r="J166" s="261">
        <v>7571.8591475805206</v>
      </c>
      <c r="K166" s="261"/>
      <c r="L166" s="249">
        <f t="shared" si="49"/>
        <v>2030</v>
      </c>
      <c r="M166" s="247">
        <v>895.66331237273153</v>
      </c>
      <c r="N166" s="251">
        <f t="shared" si="50"/>
        <v>895.66331237273153</v>
      </c>
      <c r="O166" s="277">
        <v>0</v>
      </c>
      <c r="P166" s="277">
        <v>0</v>
      </c>
      <c r="Q166" s="251">
        <f t="shared" si="51"/>
        <v>895.66331237273153</v>
      </c>
      <c r="R166" s="249"/>
      <c r="S166" s="249"/>
      <c r="T166" s="249"/>
      <c r="U166" s="249"/>
      <c r="V166" s="249"/>
      <c r="W166" s="249"/>
      <c r="X166" s="249"/>
      <c r="Y166" s="249"/>
      <c r="Z166" s="249"/>
      <c r="AA166" s="249"/>
      <c r="AB166" s="249"/>
      <c r="AC166" s="249"/>
      <c r="AD166" s="249"/>
      <c r="AE166" s="249"/>
      <c r="AF166" s="249"/>
      <c r="AG166" s="249"/>
      <c r="AH166" s="249"/>
      <c r="AI166" s="249"/>
      <c r="AJ166" s="249"/>
      <c r="AK166" s="249"/>
      <c r="AL166" s="249"/>
    </row>
    <row r="167" spans="1:38" ht="15">
      <c r="A167" s="245">
        <v>47757</v>
      </c>
      <c r="B167" s="261">
        <v>505800.60692108219</v>
      </c>
      <c r="C167" s="262">
        <v>505800.60692108219</v>
      </c>
      <c r="D167" s="261">
        <v>489620.85644843354</v>
      </c>
      <c r="E167" s="262">
        <v>489620.85644843354</v>
      </c>
      <c r="F167" s="261">
        <v>420722.82704459992</v>
      </c>
      <c r="G167" s="262">
        <v>420722.82704459992</v>
      </c>
      <c r="H167" s="261">
        <v>104373.94722596362</v>
      </c>
      <c r="I167" s="262">
        <v>104373.94722596362</v>
      </c>
      <c r="J167" s="261">
        <v>7117.4784236002042</v>
      </c>
      <c r="K167" s="261"/>
      <c r="L167" s="249">
        <f t="shared" si="49"/>
        <v>2030</v>
      </c>
      <c r="M167" s="247">
        <v>781.86573975814474</v>
      </c>
      <c r="N167" s="251">
        <f t="shared" si="50"/>
        <v>781.86573975814474</v>
      </c>
      <c r="O167" s="277">
        <v>0</v>
      </c>
      <c r="P167" s="277">
        <v>0</v>
      </c>
      <c r="Q167" s="251">
        <f t="shared" si="51"/>
        <v>781.86573975814474</v>
      </c>
      <c r="R167" s="249"/>
      <c r="S167" s="249"/>
      <c r="T167" s="249"/>
      <c r="U167" s="249"/>
      <c r="V167" s="249"/>
      <c r="W167" s="249"/>
      <c r="X167" s="249"/>
      <c r="Y167" s="249"/>
      <c r="Z167" s="249"/>
      <c r="AA167" s="249"/>
      <c r="AB167" s="249"/>
      <c r="AC167" s="249"/>
      <c r="AD167" s="249"/>
      <c r="AE167" s="249"/>
      <c r="AF167" s="249"/>
      <c r="AG167" s="249"/>
      <c r="AH167" s="249"/>
      <c r="AI167" s="249"/>
      <c r="AJ167" s="249"/>
      <c r="AK167" s="249"/>
      <c r="AL167" s="249"/>
    </row>
    <row r="168" spans="1:38" ht="15">
      <c r="A168" s="245">
        <v>47788</v>
      </c>
      <c r="B168" s="261">
        <v>569702.71392521856</v>
      </c>
      <c r="C168" s="262">
        <v>569702.71392521856</v>
      </c>
      <c r="D168" s="261">
        <v>485386.04476860509</v>
      </c>
      <c r="E168" s="262">
        <v>485386.04476860509</v>
      </c>
      <c r="F168" s="261">
        <v>410492.02334141772</v>
      </c>
      <c r="G168" s="262">
        <v>410492.02334141772</v>
      </c>
      <c r="H168" s="261">
        <v>95701.402793275847</v>
      </c>
      <c r="I168" s="262">
        <v>95701.402793275847</v>
      </c>
      <c r="J168" s="261">
        <v>7131.3113303377422</v>
      </c>
      <c r="K168" s="261"/>
      <c r="L168" s="249">
        <f t="shared" si="49"/>
        <v>2030</v>
      </c>
      <c r="M168" s="247">
        <v>765.13589211705664</v>
      </c>
      <c r="N168" s="251">
        <f t="shared" si="50"/>
        <v>765.13589211705664</v>
      </c>
      <c r="O168" s="277">
        <v>0</v>
      </c>
      <c r="P168" s="277">
        <v>0</v>
      </c>
      <c r="Q168" s="251">
        <f t="shared" si="51"/>
        <v>765.13589211705664</v>
      </c>
      <c r="R168" s="249"/>
      <c r="S168" s="249"/>
      <c r="T168" s="249"/>
      <c r="U168" s="249"/>
      <c r="V168" s="249"/>
      <c r="W168" s="249"/>
      <c r="X168" s="249"/>
      <c r="Y168" s="249"/>
      <c r="Z168" s="249"/>
      <c r="AA168" s="249"/>
      <c r="AB168" s="249"/>
      <c r="AC168" s="249"/>
      <c r="AD168" s="249"/>
      <c r="AE168" s="249"/>
      <c r="AF168" s="249"/>
      <c r="AG168" s="249"/>
      <c r="AH168" s="249"/>
      <c r="AI168" s="249"/>
      <c r="AJ168" s="249"/>
      <c r="AK168" s="249"/>
      <c r="AL168" s="249"/>
    </row>
    <row r="169" spans="1:38" ht="15">
      <c r="A169" s="245">
        <v>47818</v>
      </c>
      <c r="B169" s="261">
        <v>770113.88770426507</v>
      </c>
      <c r="C169" s="262">
        <v>770113.88770426507</v>
      </c>
      <c r="D169" s="261">
        <v>515255.48076325201</v>
      </c>
      <c r="E169" s="262">
        <v>515255.48076325201</v>
      </c>
      <c r="F169" s="261">
        <v>423058.33878949564</v>
      </c>
      <c r="G169" s="262">
        <v>423058.33878949564</v>
      </c>
      <c r="H169" s="261">
        <v>95626.688982649473</v>
      </c>
      <c r="I169" s="262">
        <v>95626.688982649473</v>
      </c>
      <c r="J169" s="261">
        <v>7676.1177687517975</v>
      </c>
      <c r="K169" s="261"/>
      <c r="L169" s="249">
        <f t="shared" si="49"/>
        <v>2030</v>
      </c>
      <c r="M169" s="247">
        <v>998.7707881524866</v>
      </c>
      <c r="N169" s="251">
        <f t="shared" si="50"/>
        <v>998.7707881524866</v>
      </c>
      <c r="O169" s="277">
        <v>0</v>
      </c>
      <c r="P169" s="277">
        <v>0</v>
      </c>
      <c r="Q169" s="251">
        <f t="shared" si="51"/>
        <v>998.7707881524866</v>
      </c>
      <c r="R169" s="249"/>
      <c r="S169" s="249"/>
      <c r="T169" s="249"/>
      <c r="U169" s="249"/>
      <c r="V169" s="249"/>
      <c r="W169" s="249"/>
      <c r="X169" s="249"/>
      <c r="Y169" s="249"/>
      <c r="Z169" s="249"/>
      <c r="AA169" s="249"/>
      <c r="AB169" s="249"/>
      <c r="AC169" s="249"/>
      <c r="AD169" s="249"/>
      <c r="AE169" s="249"/>
      <c r="AF169" s="249"/>
      <c r="AG169" s="249"/>
      <c r="AH169" s="249"/>
      <c r="AI169" s="249"/>
      <c r="AJ169" s="249"/>
      <c r="AK169" s="249"/>
      <c r="AL169" s="249"/>
    </row>
    <row r="170" spans="1:38" ht="15">
      <c r="A170" s="245">
        <v>47849</v>
      </c>
      <c r="B170" s="261">
        <v>763711.66493628302</v>
      </c>
      <c r="C170" s="262">
        <v>763711.66493628302</v>
      </c>
      <c r="D170" s="261">
        <v>521920.58114085457</v>
      </c>
      <c r="E170" s="262">
        <v>521920.58114085457</v>
      </c>
      <c r="F170" s="261">
        <v>424524.51910135563</v>
      </c>
      <c r="G170" s="262">
        <v>424524.51910135563</v>
      </c>
      <c r="H170" s="261">
        <v>94447.893564228347</v>
      </c>
      <c r="I170" s="262">
        <v>94447.893564228347</v>
      </c>
      <c r="J170" s="261">
        <v>7176.6111012830033</v>
      </c>
      <c r="K170" s="261"/>
      <c r="L170" s="249">
        <f t="shared" ref="L170:L181" si="52">YEAR(A170)</f>
        <v>2031</v>
      </c>
      <c r="M170" s="247">
        <v>1042.5210167297887</v>
      </c>
      <c r="N170" s="251">
        <f t="shared" si="50"/>
        <v>1042.5210167297887</v>
      </c>
      <c r="O170" s="277">
        <v>0</v>
      </c>
      <c r="P170" s="277">
        <v>0</v>
      </c>
      <c r="Q170" s="251">
        <f t="shared" ref="Q170:Q181" si="53">K170+M170-O170-P170</f>
        <v>1042.5210167297887</v>
      </c>
      <c r="S170" s="249"/>
      <c r="T170" s="249"/>
      <c r="U170" s="249"/>
      <c r="V170" s="249"/>
      <c r="W170" s="249"/>
      <c r="X170" s="249"/>
      <c r="Y170" s="249"/>
      <c r="Z170" s="249"/>
    </row>
    <row r="171" spans="1:38" ht="15">
      <c r="A171" s="245">
        <v>47880</v>
      </c>
      <c r="B171" s="261">
        <v>709089.64007712132</v>
      </c>
      <c r="C171" s="262">
        <v>709089.64007712132</v>
      </c>
      <c r="D171" s="261">
        <v>485219.73924907879</v>
      </c>
      <c r="E171" s="262">
        <v>485219.73924907879</v>
      </c>
      <c r="F171" s="261">
        <v>397640.33425730251</v>
      </c>
      <c r="G171" s="262">
        <v>397640.33425730251</v>
      </c>
      <c r="H171" s="261">
        <v>93419.641287798717</v>
      </c>
      <c r="I171" s="262">
        <v>93419.641287798717</v>
      </c>
      <c r="J171" s="261">
        <v>7538.276635904901</v>
      </c>
      <c r="K171" s="261"/>
      <c r="L171" s="249">
        <f t="shared" si="52"/>
        <v>2031</v>
      </c>
      <c r="M171" s="247">
        <v>897.92570474261947</v>
      </c>
      <c r="N171" s="251">
        <f t="shared" si="50"/>
        <v>897.92570474261947</v>
      </c>
      <c r="O171" s="277">
        <v>0</v>
      </c>
      <c r="P171" s="277">
        <v>0</v>
      </c>
      <c r="Q171" s="251">
        <f t="shared" si="53"/>
        <v>897.92570474261947</v>
      </c>
    </row>
    <row r="172" spans="1:38" ht="15">
      <c r="A172" s="245">
        <v>47908</v>
      </c>
      <c r="B172" s="261">
        <v>592564.65396137675</v>
      </c>
      <c r="C172" s="262">
        <v>592564.65396137675</v>
      </c>
      <c r="D172" s="261">
        <v>492662.93412041804</v>
      </c>
      <c r="E172" s="262">
        <v>492662.93412041804</v>
      </c>
      <c r="F172" s="261">
        <v>431215.33065107616</v>
      </c>
      <c r="G172" s="262">
        <v>431215.33065107616</v>
      </c>
      <c r="H172" s="261">
        <v>97062.16658395587</v>
      </c>
      <c r="I172" s="262">
        <v>97062.16658395587</v>
      </c>
      <c r="J172" s="261">
        <v>7307.2727794119601</v>
      </c>
      <c r="K172" s="261"/>
      <c r="L172" s="249">
        <f t="shared" si="52"/>
        <v>2031</v>
      </c>
      <c r="M172" s="247">
        <v>1039.2360392866099</v>
      </c>
      <c r="N172" s="251">
        <f t="shared" si="50"/>
        <v>1039.2360392866099</v>
      </c>
      <c r="O172" s="277">
        <v>0</v>
      </c>
      <c r="P172" s="277">
        <v>0</v>
      </c>
      <c r="Q172" s="251">
        <f t="shared" si="53"/>
        <v>1039.2360392866099</v>
      </c>
    </row>
    <row r="173" spans="1:38" ht="15">
      <c r="A173" s="245">
        <v>47939</v>
      </c>
      <c r="B173" s="261">
        <v>516724.31051906099</v>
      </c>
      <c r="C173" s="262">
        <v>516724.31051906099</v>
      </c>
      <c r="D173" s="261">
        <v>464592.86977485183</v>
      </c>
      <c r="E173" s="262">
        <v>464592.86977485183</v>
      </c>
      <c r="F173" s="261">
        <v>408760.74403375195</v>
      </c>
      <c r="G173" s="262">
        <v>408760.74403375195</v>
      </c>
      <c r="H173" s="261">
        <v>93513.993166083048</v>
      </c>
      <c r="I173" s="262">
        <v>93513.993166083048</v>
      </c>
      <c r="J173" s="261">
        <v>7398.155320514752</v>
      </c>
      <c r="K173" s="261"/>
      <c r="L173" s="249">
        <f t="shared" si="52"/>
        <v>2031</v>
      </c>
      <c r="M173" s="247">
        <v>829.41328980426874</v>
      </c>
      <c r="N173" s="251">
        <f t="shared" si="50"/>
        <v>829.41328980426874</v>
      </c>
      <c r="O173" s="277">
        <v>0</v>
      </c>
      <c r="P173" s="277">
        <v>0</v>
      </c>
      <c r="Q173" s="251">
        <f t="shared" si="53"/>
        <v>829.41328980426874</v>
      </c>
    </row>
    <row r="174" spans="1:38" ht="15">
      <c r="A174" s="245">
        <v>47969</v>
      </c>
      <c r="B174" s="261">
        <v>514457.36411690584</v>
      </c>
      <c r="C174" s="262">
        <v>514457.36411690584</v>
      </c>
      <c r="D174" s="261">
        <v>478537.0361990353</v>
      </c>
      <c r="E174" s="262">
        <v>478537.0361990353</v>
      </c>
      <c r="F174" s="261">
        <v>389417.29236911988</v>
      </c>
      <c r="G174" s="262">
        <v>389417.29236911988</v>
      </c>
      <c r="H174" s="261">
        <v>95938.560348307801</v>
      </c>
      <c r="I174" s="262">
        <v>95938.560348307801</v>
      </c>
      <c r="J174" s="261">
        <v>7296.3902528253166</v>
      </c>
      <c r="K174" s="261"/>
      <c r="L174" s="249">
        <f t="shared" si="52"/>
        <v>2031</v>
      </c>
      <c r="M174" s="247">
        <v>846.8552493572098</v>
      </c>
      <c r="N174" s="251">
        <f t="shared" si="50"/>
        <v>846.8552493572098</v>
      </c>
      <c r="O174" s="277">
        <v>0</v>
      </c>
      <c r="P174" s="277">
        <v>0</v>
      </c>
      <c r="Q174" s="251">
        <f t="shared" si="53"/>
        <v>846.8552493572098</v>
      </c>
    </row>
    <row r="175" spans="1:38" ht="15">
      <c r="A175" s="245">
        <v>48000</v>
      </c>
      <c r="B175" s="261">
        <v>683509.04133608146</v>
      </c>
      <c r="C175" s="262">
        <v>683509.04133608146</v>
      </c>
      <c r="D175" s="261">
        <v>560282.75553192676</v>
      </c>
      <c r="E175" s="262">
        <v>560282.75553192676</v>
      </c>
      <c r="F175" s="261">
        <v>463299.00613560725</v>
      </c>
      <c r="G175" s="262">
        <v>463299.00613560725</v>
      </c>
      <c r="H175" s="261">
        <v>97992.356469162958</v>
      </c>
      <c r="I175" s="262">
        <v>97992.356469162958</v>
      </c>
      <c r="J175" s="261">
        <v>7132.9347737291955</v>
      </c>
      <c r="K175" s="261"/>
      <c r="L175" s="249">
        <f t="shared" si="52"/>
        <v>2031</v>
      </c>
      <c r="M175" s="247">
        <v>771.49315914719637</v>
      </c>
      <c r="N175" s="251">
        <f t="shared" si="50"/>
        <v>771.49315914719637</v>
      </c>
      <c r="O175" s="277">
        <v>0</v>
      </c>
      <c r="P175" s="277">
        <v>0</v>
      </c>
      <c r="Q175" s="251">
        <f t="shared" si="53"/>
        <v>771.49315914719637</v>
      </c>
    </row>
    <row r="176" spans="1:38" ht="15">
      <c r="A176" s="245">
        <v>48030</v>
      </c>
      <c r="B176" s="261">
        <v>793005.49787507835</v>
      </c>
      <c r="C176" s="262">
        <v>793005.49787507835</v>
      </c>
      <c r="D176" s="261">
        <v>620596.74384357722</v>
      </c>
      <c r="E176" s="262">
        <v>620596.74384357722</v>
      </c>
      <c r="F176" s="261">
        <v>447298.4311067267</v>
      </c>
      <c r="G176" s="262">
        <v>447298.4311067267</v>
      </c>
      <c r="H176" s="261">
        <v>113899.8882408238</v>
      </c>
      <c r="I176" s="262">
        <v>113899.8882408238</v>
      </c>
      <c r="J176" s="261">
        <v>7249.8239390682111</v>
      </c>
      <c r="K176" s="261"/>
      <c r="L176" s="249">
        <f t="shared" si="52"/>
        <v>2031</v>
      </c>
      <c r="M176" s="247">
        <v>879.61962780420913</v>
      </c>
      <c r="N176" s="251">
        <f t="shared" si="50"/>
        <v>879.61962780420913</v>
      </c>
      <c r="O176" s="277">
        <v>0</v>
      </c>
      <c r="P176" s="277">
        <v>0</v>
      </c>
      <c r="Q176" s="251">
        <f t="shared" si="53"/>
        <v>879.61962780420913</v>
      </c>
    </row>
    <row r="177" spans="1:17" ht="15">
      <c r="A177" s="245">
        <v>48061</v>
      </c>
      <c r="B177" s="261">
        <v>787794.16321602394</v>
      </c>
      <c r="C177" s="262">
        <v>787794.16321602394</v>
      </c>
      <c r="D177" s="261">
        <v>603395.7877944347</v>
      </c>
      <c r="E177" s="262">
        <v>603395.7877944347</v>
      </c>
      <c r="F177" s="261">
        <v>481491.71764435724</v>
      </c>
      <c r="G177" s="262">
        <v>481491.71764435724</v>
      </c>
      <c r="H177" s="261">
        <v>112765.98484205532</v>
      </c>
      <c r="I177" s="262">
        <v>112765.98484205532</v>
      </c>
      <c r="J177" s="261">
        <v>7431.2790363161321</v>
      </c>
      <c r="K177" s="261"/>
      <c r="L177" s="249">
        <f t="shared" si="52"/>
        <v>2031</v>
      </c>
      <c r="M177" s="247">
        <v>833.74439534890746</v>
      </c>
      <c r="N177" s="251">
        <f t="shared" si="50"/>
        <v>833.74439534890746</v>
      </c>
      <c r="O177" s="277">
        <v>0</v>
      </c>
      <c r="P177" s="277">
        <v>0</v>
      </c>
      <c r="Q177" s="251">
        <f t="shared" si="53"/>
        <v>833.74439534890746</v>
      </c>
    </row>
    <row r="178" spans="1:17" ht="15">
      <c r="A178" s="245">
        <v>48092</v>
      </c>
      <c r="B178" s="261">
        <v>615850.42497164279</v>
      </c>
      <c r="C178" s="262">
        <v>615850.42497164279</v>
      </c>
      <c r="D178" s="261">
        <v>543048.10567887325</v>
      </c>
      <c r="E178" s="262">
        <v>543048.10567887325</v>
      </c>
      <c r="F178" s="261">
        <v>435850.12197591242</v>
      </c>
      <c r="G178" s="262">
        <v>435850.12197591242</v>
      </c>
      <c r="H178" s="261">
        <v>104724.82676078372</v>
      </c>
      <c r="I178" s="262">
        <v>104724.82676078372</v>
      </c>
      <c r="J178" s="261">
        <v>7551.7627992799407</v>
      </c>
      <c r="K178" s="261"/>
      <c r="L178" s="249">
        <f t="shared" si="52"/>
        <v>2031</v>
      </c>
      <c r="M178" s="247">
        <v>895.66331237273289</v>
      </c>
      <c r="N178" s="251">
        <f t="shared" si="50"/>
        <v>895.66331237273289</v>
      </c>
      <c r="O178" s="277">
        <v>0</v>
      </c>
      <c r="P178" s="277">
        <v>0</v>
      </c>
      <c r="Q178" s="251">
        <f t="shared" si="53"/>
        <v>895.66331237273289</v>
      </c>
    </row>
    <row r="179" spans="1:17" ht="15">
      <c r="A179" s="245">
        <v>48122</v>
      </c>
      <c r="B179" s="261">
        <v>511711.5544541573</v>
      </c>
      <c r="C179" s="262">
        <v>511711.5544541573</v>
      </c>
      <c r="D179" s="261">
        <v>492348.21808954072</v>
      </c>
      <c r="E179" s="262">
        <v>492348.21808954072</v>
      </c>
      <c r="F179" s="261">
        <v>421198.08911988977</v>
      </c>
      <c r="G179" s="262">
        <v>421198.08911988977</v>
      </c>
      <c r="H179" s="261">
        <v>104399.58214406822</v>
      </c>
      <c r="I179" s="262">
        <v>104399.58214406822</v>
      </c>
      <c r="J179" s="261">
        <v>7097.4355321218927</v>
      </c>
      <c r="K179" s="261"/>
      <c r="L179" s="249">
        <f t="shared" si="52"/>
        <v>2031</v>
      </c>
      <c r="M179" s="247">
        <v>781.86573975814417</v>
      </c>
      <c r="N179" s="251">
        <f t="shared" si="50"/>
        <v>781.86573975814417</v>
      </c>
      <c r="O179" s="277">
        <v>0</v>
      </c>
      <c r="P179" s="277">
        <v>0</v>
      </c>
      <c r="Q179" s="251">
        <f t="shared" si="53"/>
        <v>781.86573975814417</v>
      </c>
    </row>
    <row r="180" spans="1:17" ht="15">
      <c r="A180" s="245">
        <v>48153</v>
      </c>
      <c r="B180" s="261">
        <v>575209.36076309625</v>
      </c>
      <c r="C180" s="262">
        <v>575209.36076309625</v>
      </c>
      <c r="D180" s="261">
        <v>488342.68920905876</v>
      </c>
      <c r="E180" s="262">
        <v>488342.68920905876</v>
      </c>
      <c r="F180" s="261">
        <v>411022.93753977364</v>
      </c>
      <c r="G180" s="262">
        <v>411022.93753977364</v>
      </c>
      <c r="H180" s="261">
        <v>95727.57199174093</v>
      </c>
      <c r="I180" s="262">
        <v>95727.57199174093</v>
      </c>
      <c r="J180" s="261">
        <v>7111.3216120191846</v>
      </c>
      <c r="K180" s="261"/>
      <c r="L180" s="249">
        <f t="shared" si="52"/>
        <v>2031</v>
      </c>
      <c r="M180" s="247">
        <v>765.13589211705676</v>
      </c>
      <c r="N180" s="251">
        <f t="shared" si="50"/>
        <v>765.13589211705676</v>
      </c>
      <c r="O180" s="277">
        <v>0</v>
      </c>
      <c r="P180" s="277">
        <v>0</v>
      </c>
      <c r="Q180" s="251">
        <f t="shared" si="53"/>
        <v>765.13589211705676</v>
      </c>
    </row>
    <row r="181" spans="1:17" ht="15">
      <c r="A181" s="245">
        <v>48183</v>
      </c>
      <c r="B181" s="261">
        <v>775907.43574763369</v>
      </c>
      <c r="C181" s="262">
        <v>775907.43574763369</v>
      </c>
      <c r="D181" s="261">
        <v>518798.92063133896</v>
      </c>
      <c r="E181" s="262">
        <v>518798.92063133896</v>
      </c>
      <c r="F181" s="261">
        <v>423681.12909923977</v>
      </c>
      <c r="G181" s="262">
        <v>423681.12909923977</v>
      </c>
      <c r="H181" s="261">
        <v>95653.320903801665</v>
      </c>
      <c r="I181" s="262">
        <v>95653.320903801665</v>
      </c>
      <c r="J181" s="261">
        <v>7656.18094218228</v>
      </c>
      <c r="K181" s="261"/>
      <c r="L181" s="249">
        <f t="shared" si="52"/>
        <v>2031</v>
      </c>
      <c r="M181" s="247">
        <v>998.77078815248524</v>
      </c>
      <c r="N181" s="251">
        <f t="shared" si="50"/>
        <v>998.77078815248524</v>
      </c>
      <c r="O181" s="277">
        <v>0</v>
      </c>
      <c r="P181" s="277">
        <v>0</v>
      </c>
      <c r="Q181" s="251">
        <f t="shared" si="53"/>
        <v>998.77078815248524</v>
      </c>
    </row>
    <row r="182" spans="1:17" ht="15">
      <c r="A182" s="245">
        <f>EOMONTH(A181,0)+1</f>
        <v>48214</v>
      </c>
      <c r="B182" s="261">
        <v>768767.90727012744</v>
      </c>
      <c r="C182" s="262">
        <v>768767.90727012744</v>
      </c>
      <c r="D182" s="261">
        <v>525671.61361312598</v>
      </c>
      <c r="E182" s="262">
        <v>525671.61361312598</v>
      </c>
      <c r="F182" s="261">
        <v>425217.86135405157</v>
      </c>
      <c r="G182" s="262">
        <v>425217.86135405157</v>
      </c>
      <c r="H182" s="261">
        <v>94474.940300155344</v>
      </c>
      <c r="I182" s="262">
        <v>94474.940300155344</v>
      </c>
      <c r="J182" s="261">
        <v>7156.7268872801278</v>
      </c>
      <c r="K182" s="261"/>
      <c r="L182" s="249">
        <f t="shared" ref="L182:L193" si="54">YEAR(A182)</f>
        <v>2032</v>
      </c>
      <c r="M182" s="247">
        <v>1042.5210167297898</v>
      </c>
      <c r="N182" s="251">
        <f t="shared" ref="N182:N193" si="55">K182+M182</f>
        <v>1042.5210167297898</v>
      </c>
      <c r="O182" s="277">
        <v>0</v>
      </c>
      <c r="P182" s="277">
        <v>0</v>
      </c>
      <c r="Q182" s="251">
        <f t="shared" ref="Q182:Q193" si="56">K182+M182-O182-P182</f>
        <v>1042.5210167297898</v>
      </c>
    </row>
    <row r="183" spans="1:17" ht="15">
      <c r="A183" s="245">
        <f t="shared" ref="A183:A217" si="57">EOMONTH(A182,0)+1</f>
        <v>48245</v>
      </c>
      <c r="B183" s="261">
        <v>732765.98242341273</v>
      </c>
      <c r="C183" s="262">
        <v>732765.98242341273</v>
      </c>
      <c r="D183" s="261">
        <v>504200.46319436986</v>
      </c>
      <c r="E183" s="262">
        <v>504200.46319436986</v>
      </c>
      <c r="F183" s="261">
        <v>398250.37181463162</v>
      </c>
      <c r="G183" s="262">
        <v>398250.37181463162</v>
      </c>
      <c r="H183" s="261">
        <v>93447.104143799137</v>
      </c>
      <c r="I183" s="262">
        <v>93447.104143799137</v>
      </c>
      <c r="J183" s="261">
        <v>7518.4447574913602</v>
      </c>
      <c r="K183" s="261"/>
      <c r="L183" s="249">
        <f t="shared" si="54"/>
        <v>2032</v>
      </c>
      <c r="M183" s="247">
        <v>897.92570474261913</v>
      </c>
      <c r="N183" s="251">
        <f t="shared" si="55"/>
        <v>897.92570474261913</v>
      </c>
      <c r="O183" s="277">
        <v>0</v>
      </c>
      <c r="P183" s="277">
        <v>0</v>
      </c>
      <c r="Q183" s="251">
        <f t="shared" si="56"/>
        <v>897.92570474261913</v>
      </c>
    </row>
    <row r="184" spans="1:17" ht="15">
      <c r="A184" s="245">
        <f t="shared" si="57"/>
        <v>48274</v>
      </c>
      <c r="B184" s="261">
        <v>598281.66591292655</v>
      </c>
      <c r="C184" s="262">
        <v>598281.66591292655</v>
      </c>
      <c r="D184" s="261">
        <v>496431.8886761617</v>
      </c>
      <c r="E184" s="262">
        <v>496431.8886761617</v>
      </c>
      <c r="F184" s="261">
        <v>431839.89698351605</v>
      </c>
      <c r="G184" s="262">
        <v>431839.89698351605</v>
      </c>
      <c r="H184" s="261">
        <v>97090.047162913892</v>
      </c>
      <c r="I184" s="262">
        <v>97090.047162913892</v>
      </c>
      <c r="J184" s="261">
        <v>7287.4929617919252</v>
      </c>
      <c r="K184" s="261"/>
      <c r="L184" s="249">
        <f t="shared" si="54"/>
        <v>2032</v>
      </c>
      <c r="M184" s="247">
        <v>1039.2360392866094</v>
      </c>
      <c r="N184" s="251">
        <f t="shared" si="55"/>
        <v>1039.2360392866094</v>
      </c>
      <c r="O184" s="277">
        <v>0</v>
      </c>
      <c r="P184" s="277">
        <v>0</v>
      </c>
      <c r="Q184" s="251">
        <f t="shared" si="56"/>
        <v>1039.2360392866094</v>
      </c>
    </row>
    <row r="185" spans="1:17" ht="15">
      <c r="A185" s="245">
        <f t="shared" si="57"/>
        <v>48305</v>
      </c>
      <c r="B185" s="261">
        <v>522628.22441085725</v>
      </c>
      <c r="C185" s="262">
        <v>522628.22441085725</v>
      </c>
      <c r="D185" s="261">
        <v>468016.6466782784</v>
      </c>
      <c r="E185" s="262">
        <v>468016.6466782784</v>
      </c>
      <c r="F185" s="261">
        <v>409306.69510377472</v>
      </c>
      <c r="G185" s="262">
        <v>409306.69510377472</v>
      </c>
      <c r="H185" s="261">
        <v>93542.228157703736</v>
      </c>
      <c r="I185" s="262">
        <v>93542.228157703736</v>
      </c>
      <c r="J185" s="261">
        <v>7378.4272910511372</v>
      </c>
      <c r="K185" s="261"/>
      <c r="L185" s="249">
        <f t="shared" si="54"/>
        <v>2032</v>
      </c>
      <c r="M185" s="247">
        <v>829.41328980427079</v>
      </c>
      <c r="N185" s="251">
        <f t="shared" si="55"/>
        <v>829.41328980427079</v>
      </c>
      <c r="O185" s="277">
        <v>0</v>
      </c>
      <c r="P185" s="277">
        <v>0</v>
      </c>
      <c r="Q185" s="251">
        <f t="shared" si="56"/>
        <v>829.41328980427079</v>
      </c>
    </row>
    <row r="186" spans="1:17" ht="15">
      <c r="A186" s="245">
        <f t="shared" si="57"/>
        <v>48335</v>
      </c>
      <c r="B186" s="261">
        <v>520733.99550980603</v>
      </c>
      <c r="C186" s="262">
        <v>520733.99550980603</v>
      </c>
      <c r="D186" s="261">
        <v>481952.02657139907</v>
      </c>
      <c r="E186" s="262">
        <v>481952.02657139907</v>
      </c>
      <c r="F186" s="261">
        <v>389930.76285266451</v>
      </c>
      <c r="G186" s="262">
        <v>389930.76285266451</v>
      </c>
      <c r="H186" s="261">
        <v>95967.058481538814</v>
      </c>
      <c r="I186" s="262">
        <v>95967.058481538814</v>
      </c>
      <c r="J186" s="261">
        <v>7276.7137410172991</v>
      </c>
      <c r="K186" s="261"/>
      <c r="L186" s="249">
        <f t="shared" si="54"/>
        <v>2032</v>
      </c>
      <c r="M186" s="247">
        <v>846.85524935721082</v>
      </c>
      <c r="N186" s="251">
        <f t="shared" si="55"/>
        <v>846.85524935721082</v>
      </c>
      <c r="O186" s="277">
        <v>0</v>
      </c>
      <c r="P186" s="277">
        <v>0</v>
      </c>
      <c r="Q186" s="251">
        <f t="shared" si="56"/>
        <v>846.85524935721082</v>
      </c>
    </row>
    <row r="187" spans="1:17" ht="15">
      <c r="A187" s="245">
        <f t="shared" si="57"/>
        <v>48366</v>
      </c>
      <c r="B187" s="261">
        <v>690444.32974542479</v>
      </c>
      <c r="C187" s="262">
        <v>690444.32974542479</v>
      </c>
      <c r="D187" s="261">
        <v>564078.72624918073</v>
      </c>
      <c r="E187" s="262">
        <v>564078.72624918073</v>
      </c>
      <c r="F187" s="261">
        <v>463794.81525195955</v>
      </c>
      <c r="G187" s="262">
        <v>463794.81525195955</v>
      </c>
      <c r="H187" s="261">
        <v>98021.002679550598</v>
      </c>
      <c r="I187" s="262">
        <v>98021.002679550598</v>
      </c>
      <c r="J187" s="261">
        <v>7113.3095111900757</v>
      </c>
      <c r="K187" s="261"/>
      <c r="L187" s="249">
        <f t="shared" si="54"/>
        <v>2032</v>
      </c>
      <c r="M187" s="247">
        <v>771.4931591471958</v>
      </c>
      <c r="N187" s="251">
        <f t="shared" si="55"/>
        <v>771.4931591471958</v>
      </c>
      <c r="O187" s="277">
        <v>0</v>
      </c>
      <c r="P187" s="277">
        <v>0</v>
      </c>
      <c r="Q187" s="251">
        <f t="shared" si="56"/>
        <v>771.4931591471958</v>
      </c>
    </row>
    <row r="188" spans="1:17" ht="15">
      <c r="A188" s="245">
        <f t="shared" si="57"/>
        <v>48396</v>
      </c>
      <c r="B188" s="261">
        <v>800524.65839948296</v>
      </c>
      <c r="C188" s="262">
        <v>800524.65839948296</v>
      </c>
      <c r="D188" s="261">
        <v>624859.45776473498</v>
      </c>
      <c r="E188" s="262">
        <v>624859.45776473498</v>
      </c>
      <c r="F188" s="261">
        <v>447821.52675153967</v>
      </c>
      <c r="G188" s="262">
        <v>447821.52675153967</v>
      </c>
      <c r="H188" s="261">
        <v>113928.63028563374</v>
      </c>
      <c r="I188" s="262">
        <v>113928.63028563374</v>
      </c>
      <c r="J188" s="261">
        <v>7230.2496595030516</v>
      </c>
      <c r="K188" s="261"/>
      <c r="L188" s="249">
        <f t="shared" si="54"/>
        <v>2032</v>
      </c>
      <c r="M188" s="247">
        <v>879.61962780421084</v>
      </c>
      <c r="N188" s="251">
        <f t="shared" si="55"/>
        <v>879.61962780421084</v>
      </c>
      <c r="O188" s="277">
        <v>0</v>
      </c>
      <c r="P188" s="277">
        <v>0</v>
      </c>
      <c r="Q188" s="251">
        <f t="shared" si="56"/>
        <v>879.61962780421084</v>
      </c>
    </row>
    <row r="189" spans="1:17" ht="15">
      <c r="A189" s="245">
        <f t="shared" si="57"/>
        <v>48427</v>
      </c>
      <c r="B189" s="261">
        <v>795351.79289250833</v>
      </c>
      <c r="C189" s="262">
        <v>795351.79289250833</v>
      </c>
      <c r="D189" s="261">
        <v>607647.93172119558</v>
      </c>
      <c r="E189" s="262">
        <v>607647.93172119558</v>
      </c>
      <c r="F189" s="261">
        <v>482025.65437006729</v>
      </c>
      <c r="G189" s="262">
        <v>482025.65437006729</v>
      </c>
      <c r="H189" s="261">
        <v>112794.86645229819</v>
      </c>
      <c r="I189" s="262">
        <v>112794.86645229819</v>
      </c>
      <c r="J189" s="261">
        <v>7411.7554755005049</v>
      </c>
      <c r="K189" s="261"/>
      <c r="L189" s="249">
        <f t="shared" si="54"/>
        <v>2032</v>
      </c>
      <c r="M189" s="247">
        <v>833.74439534890894</v>
      </c>
      <c r="N189" s="251">
        <f t="shared" si="55"/>
        <v>833.74439534890894</v>
      </c>
      <c r="O189" s="277">
        <v>0</v>
      </c>
      <c r="P189" s="277">
        <v>0</v>
      </c>
      <c r="Q189" s="251">
        <f t="shared" si="56"/>
        <v>833.74439534890894</v>
      </c>
    </row>
    <row r="190" spans="1:17" ht="15">
      <c r="A190" s="245">
        <f t="shared" si="57"/>
        <v>48458</v>
      </c>
      <c r="B190" s="261">
        <v>622531.9308810652</v>
      </c>
      <c r="C190" s="262">
        <v>622531.9308810652</v>
      </c>
      <c r="D190" s="261">
        <v>546756.98185647256</v>
      </c>
      <c r="E190" s="262">
        <v>546756.98185647256</v>
      </c>
      <c r="F190" s="261">
        <v>436388.08508367633</v>
      </c>
      <c r="G190" s="262">
        <v>436388.08508367633</v>
      </c>
      <c r="H190" s="261">
        <v>104753.95757617067</v>
      </c>
      <c r="I190" s="262">
        <v>104753.95757617067</v>
      </c>
      <c r="J190" s="261">
        <v>7532.2896950382246</v>
      </c>
      <c r="K190" s="261"/>
      <c r="L190" s="249">
        <f t="shared" si="54"/>
        <v>2032</v>
      </c>
      <c r="M190" s="247">
        <v>895.66331237273357</v>
      </c>
      <c r="N190" s="251">
        <f t="shared" si="55"/>
        <v>895.66331237273357</v>
      </c>
      <c r="O190" s="277">
        <v>0</v>
      </c>
      <c r="P190" s="277">
        <v>0</v>
      </c>
      <c r="Q190" s="251">
        <f t="shared" si="56"/>
        <v>895.66331237273357</v>
      </c>
    </row>
    <row r="191" spans="1:17" ht="15">
      <c r="A191" s="245">
        <f t="shared" si="57"/>
        <v>48488</v>
      </c>
      <c r="B191" s="261">
        <v>518638.07725219376</v>
      </c>
      <c r="C191" s="262">
        <v>518638.07725219376</v>
      </c>
      <c r="D191" s="261">
        <v>496419.97780023888</v>
      </c>
      <c r="E191" s="262">
        <v>496419.97780023888</v>
      </c>
      <c r="F191" s="261">
        <v>421824.01877617458</v>
      </c>
      <c r="G191" s="262">
        <v>421824.01877617458</v>
      </c>
      <c r="H191" s="261">
        <v>104429.07702241969</v>
      </c>
      <c r="I191" s="262">
        <v>104429.07702241969</v>
      </c>
      <c r="J191" s="261">
        <v>7078.0126243063369</v>
      </c>
      <c r="K191" s="261"/>
      <c r="L191" s="249">
        <f t="shared" si="54"/>
        <v>2032</v>
      </c>
      <c r="M191" s="247">
        <v>781.86573975814474</v>
      </c>
      <c r="N191" s="251">
        <f t="shared" si="55"/>
        <v>781.86573975814474</v>
      </c>
      <c r="O191" s="277">
        <v>0</v>
      </c>
      <c r="P191" s="277">
        <v>0</v>
      </c>
      <c r="Q191" s="251">
        <f t="shared" si="56"/>
        <v>781.86573975814474</v>
      </c>
    </row>
    <row r="192" spans="1:17" ht="15">
      <c r="A192" s="245">
        <f t="shared" si="57"/>
        <v>48519</v>
      </c>
      <c r="B192" s="261">
        <v>581664.16794029041</v>
      </c>
      <c r="C192" s="262">
        <v>581664.16794029041</v>
      </c>
      <c r="D192" s="261">
        <v>492688.28457419551</v>
      </c>
      <c r="E192" s="262">
        <v>492688.28457419551</v>
      </c>
      <c r="F192" s="261">
        <v>411715.55061452126</v>
      </c>
      <c r="G192" s="262">
        <v>411715.55061452126</v>
      </c>
      <c r="H192" s="261">
        <v>95757.525942735083</v>
      </c>
      <c r="I192" s="262">
        <v>95757.525942735083</v>
      </c>
      <c r="J192" s="261">
        <v>7091.9486424888155</v>
      </c>
      <c r="K192" s="261"/>
      <c r="L192" s="249">
        <f t="shared" si="54"/>
        <v>2032</v>
      </c>
      <c r="M192" s="247">
        <v>765.13589211705664</v>
      </c>
      <c r="N192" s="251">
        <f t="shared" si="55"/>
        <v>765.13589211705664</v>
      </c>
      <c r="O192" s="277">
        <v>0</v>
      </c>
      <c r="P192" s="277">
        <v>0</v>
      </c>
      <c r="Q192" s="251">
        <f t="shared" si="56"/>
        <v>765.13589211705664</v>
      </c>
    </row>
    <row r="193" spans="1:17" ht="15">
      <c r="A193" s="245">
        <f t="shared" si="57"/>
        <v>48549</v>
      </c>
      <c r="B193" s="261">
        <v>782716.01444469951</v>
      </c>
      <c r="C193" s="262">
        <v>782716.01444469951</v>
      </c>
      <c r="D193" s="261">
        <v>523892.79257405631</v>
      </c>
      <c r="E193" s="262">
        <v>523892.79257405631</v>
      </c>
      <c r="F193" s="261">
        <v>424481.42322283372</v>
      </c>
      <c r="G193" s="262">
        <v>424481.42322283372</v>
      </c>
      <c r="H193" s="261">
        <v>95683.814742704562</v>
      </c>
      <c r="I193" s="262">
        <v>95683.814742704562</v>
      </c>
      <c r="J193" s="261">
        <v>7636.8576547825778</v>
      </c>
      <c r="K193" s="261"/>
      <c r="L193" s="249">
        <f t="shared" si="54"/>
        <v>2032</v>
      </c>
      <c r="M193" s="247">
        <v>998.77078815248603</v>
      </c>
      <c r="N193" s="251">
        <f t="shared" si="55"/>
        <v>998.77078815248603</v>
      </c>
      <c r="O193" s="277">
        <v>0</v>
      </c>
      <c r="P193" s="277">
        <v>0</v>
      </c>
      <c r="Q193" s="251">
        <f t="shared" si="56"/>
        <v>998.77078815248603</v>
      </c>
    </row>
    <row r="194" spans="1:17" ht="15">
      <c r="A194" s="245">
        <f t="shared" si="57"/>
        <v>48580</v>
      </c>
      <c r="B194" s="261">
        <v>775544.93645674898</v>
      </c>
      <c r="C194" s="262">
        <v>775544.93645674898</v>
      </c>
      <c r="D194" s="261">
        <v>530893.17606640153</v>
      </c>
      <c r="E194" s="262">
        <v>530893.17606640153</v>
      </c>
      <c r="F194" s="261">
        <v>425945.87715310749</v>
      </c>
      <c r="G194" s="262">
        <v>425945.87715310749</v>
      </c>
      <c r="H194" s="261">
        <v>94506.060825899986</v>
      </c>
      <c r="I194" s="262">
        <v>94506.060825899986</v>
      </c>
      <c r="J194" s="261">
        <v>7137.4530278226321</v>
      </c>
      <c r="K194" s="261"/>
      <c r="L194" s="249">
        <f t="shared" ref="L194:L205" si="58">YEAR(A194)</f>
        <v>2033</v>
      </c>
      <c r="M194" s="247">
        <v>1042.5210167297898</v>
      </c>
      <c r="N194" s="251">
        <f t="shared" ref="N194:N205" si="59">K194+M194</f>
        <v>1042.5210167297898</v>
      </c>
      <c r="O194" s="277">
        <v>0</v>
      </c>
      <c r="P194" s="277">
        <v>0</v>
      </c>
      <c r="Q194" s="251">
        <f t="shared" ref="Q194:Q205" si="60">K194+M194-O194-P194</f>
        <v>1042.5210167297898</v>
      </c>
    </row>
    <row r="195" spans="1:17" ht="15">
      <c r="A195" s="245">
        <f t="shared" si="57"/>
        <v>48611</v>
      </c>
      <c r="B195" s="261">
        <v>720229.2127853795</v>
      </c>
      <c r="C195" s="262">
        <v>720229.2127853795</v>
      </c>
      <c r="D195" s="261">
        <v>493625.14500376064</v>
      </c>
      <c r="E195" s="262">
        <v>493625.14500376064</v>
      </c>
      <c r="F195" s="261">
        <v>398910.71351884759</v>
      </c>
      <c r="G195" s="262">
        <v>398910.71351884759</v>
      </c>
      <c r="H195" s="261">
        <v>93478.853087305208</v>
      </c>
      <c r="I195" s="262">
        <v>93478.853087305208</v>
      </c>
      <c r="J195" s="261">
        <v>7499.2200737333915</v>
      </c>
      <c r="K195" s="261"/>
      <c r="L195" s="249">
        <f t="shared" si="58"/>
        <v>2033</v>
      </c>
      <c r="M195" s="247">
        <v>897.92570474262106</v>
      </c>
      <c r="N195" s="251">
        <f t="shared" si="59"/>
        <v>897.92570474262106</v>
      </c>
      <c r="O195" s="277">
        <v>0</v>
      </c>
      <c r="P195" s="277">
        <v>0</v>
      </c>
      <c r="Q195" s="251">
        <f t="shared" si="60"/>
        <v>897.92570474262106</v>
      </c>
    </row>
    <row r="196" spans="1:17" ht="15">
      <c r="A196" s="245">
        <f t="shared" si="57"/>
        <v>48639</v>
      </c>
      <c r="B196" s="261">
        <v>605603.39818143251</v>
      </c>
      <c r="C196" s="262">
        <v>605603.39818143251</v>
      </c>
      <c r="D196" s="261">
        <v>501594.61061034031</v>
      </c>
      <c r="E196" s="262">
        <v>501594.61061034031</v>
      </c>
      <c r="F196" s="261">
        <v>432493.23311959393</v>
      </c>
      <c r="G196" s="262">
        <v>432493.23311959393</v>
      </c>
      <c r="H196" s="261">
        <v>97122.489536830632</v>
      </c>
      <c r="I196" s="262">
        <v>97122.489536830632</v>
      </c>
      <c r="J196" s="261">
        <v>7268.3172034168992</v>
      </c>
      <c r="K196" s="261"/>
      <c r="L196" s="249">
        <f t="shared" si="58"/>
        <v>2033</v>
      </c>
      <c r="M196" s="247">
        <v>1039.2360392866121</v>
      </c>
      <c r="N196" s="251">
        <f t="shared" si="59"/>
        <v>1039.2360392866121</v>
      </c>
      <c r="O196" s="277">
        <v>0</v>
      </c>
      <c r="P196" s="277">
        <v>0</v>
      </c>
      <c r="Q196" s="251">
        <f t="shared" si="60"/>
        <v>1039.2360392866121</v>
      </c>
    </row>
    <row r="197" spans="1:17" ht="15">
      <c r="A197" s="245">
        <f t="shared" si="57"/>
        <v>48670</v>
      </c>
      <c r="B197" s="261">
        <v>530004.1192993588</v>
      </c>
      <c r="C197" s="262">
        <v>530004.1192993588</v>
      </c>
      <c r="D197" s="261">
        <v>472697.31909373711</v>
      </c>
      <c r="E197" s="262">
        <v>472697.31909373711</v>
      </c>
      <c r="F197" s="261">
        <v>409874.96240824286</v>
      </c>
      <c r="G197" s="262">
        <v>409874.96240824286</v>
      </c>
      <c r="H197" s="261">
        <v>93575.484313457215</v>
      </c>
      <c r="I197" s="262">
        <v>93575.484313457215</v>
      </c>
      <c r="J197" s="261">
        <v>7359.3002096491346</v>
      </c>
      <c r="K197" s="261"/>
      <c r="L197" s="249">
        <f t="shared" si="58"/>
        <v>2033</v>
      </c>
      <c r="M197" s="247">
        <v>829.41328980426965</v>
      </c>
      <c r="N197" s="251">
        <f t="shared" si="59"/>
        <v>829.41328980426965</v>
      </c>
      <c r="O197" s="277">
        <v>0</v>
      </c>
      <c r="P197" s="277">
        <v>0</v>
      </c>
      <c r="Q197" s="251">
        <f t="shared" si="60"/>
        <v>829.41328980426965</v>
      </c>
    </row>
    <row r="198" spans="1:17" ht="15">
      <c r="A198" s="245">
        <f t="shared" si="57"/>
        <v>48700</v>
      </c>
      <c r="B198" s="261">
        <v>528927.80673452583</v>
      </c>
      <c r="C198" s="262">
        <v>528927.80673452583</v>
      </c>
      <c r="D198" s="261">
        <v>486594.17221887573</v>
      </c>
      <c r="E198" s="262">
        <v>486594.17221887573</v>
      </c>
      <c r="F198" s="261">
        <v>390468.67843860039</v>
      </c>
      <c r="G198" s="262">
        <v>390468.67843860039</v>
      </c>
      <c r="H198" s="261">
        <v>96001.169047362768</v>
      </c>
      <c r="I198" s="262">
        <v>96001.169047362768</v>
      </c>
      <c r="J198" s="261">
        <v>7257.6350900656462</v>
      </c>
      <c r="K198" s="261"/>
      <c r="L198" s="249">
        <f t="shared" si="58"/>
        <v>2033</v>
      </c>
      <c r="M198" s="247">
        <v>846.85524935721003</v>
      </c>
      <c r="N198" s="251">
        <f t="shared" si="59"/>
        <v>846.85524935721003</v>
      </c>
      <c r="O198" s="277">
        <v>0</v>
      </c>
      <c r="P198" s="277">
        <v>0</v>
      </c>
      <c r="Q198" s="251">
        <f t="shared" si="60"/>
        <v>846.85524935721003</v>
      </c>
    </row>
    <row r="199" spans="1:17" ht="15">
      <c r="A199" s="245">
        <f t="shared" si="57"/>
        <v>48731</v>
      </c>
      <c r="B199" s="261">
        <v>700356.72574934119</v>
      </c>
      <c r="C199" s="262">
        <v>700356.72574934119</v>
      </c>
      <c r="D199" s="261">
        <v>569085.29755722987</v>
      </c>
      <c r="E199" s="262">
        <v>569085.29755722987</v>
      </c>
      <c r="F199" s="261">
        <v>464315.17953345057</v>
      </c>
      <c r="G199" s="262">
        <v>464315.17953345057</v>
      </c>
      <c r="H199" s="261">
        <v>98056.002056020443</v>
      </c>
      <c r="I199" s="262">
        <v>98056.002056020443</v>
      </c>
      <c r="J199" s="261">
        <v>7094.2790460342103</v>
      </c>
      <c r="K199" s="261"/>
      <c r="L199" s="249">
        <f t="shared" si="58"/>
        <v>2033</v>
      </c>
      <c r="M199" s="247">
        <v>771.49315914719728</v>
      </c>
      <c r="N199" s="251">
        <f t="shared" si="59"/>
        <v>771.49315914719728</v>
      </c>
      <c r="O199" s="277">
        <v>0</v>
      </c>
      <c r="P199" s="277">
        <v>0</v>
      </c>
      <c r="Q199" s="251">
        <f t="shared" si="60"/>
        <v>771.49315914719728</v>
      </c>
    </row>
    <row r="200" spans="1:17" ht="15">
      <c r="A200" s="245">
        <f t="shared" si="57"/>
        <v>48761</v>
      </c>
      <c r="B200" s="261">
        <v>811830.76125580748</v>
      </c>
      <c r="C200" s="262">
        <v>811830.76125580748</v>
      </c>
      <c r="D200" s="261">
        <v>630384.59898010758</v>
      </c>
      <c r="E200" s="262">
        <v>630384.59898010758</v>
      </c>
      <c r="F200" s="261">
        <v>448373.36483931501</v>
      </c>
      <c r="G200" s="262">
        <v>448373.36483931501</v>
      </c>
      <c r="H200" s="261">
        <v>113964.58358829207</v>
      </c>
      <c r="I200" s="262">
        <v>113964.58358829207</v>
      </c>
      <c r="J200" s="261">
        <v>7211.2671373377607</v>
      </c>
      <c r="K200" s="261"/>
      <c r="L200" s="249">
        <f t="shared" si="58"/>
        <v>2033</v>
      </c>
      <c r="M200" s="247">
        <v>879.61962780421152</v>
      </c>
      <c r="N200" s="251">
        <f t="shared" si="59"/>
        <v>879.61962780421152</v>
      </c>
      <c r="O200" s="277">
        <v>0</v>
      </c>
      <c r="P200" s="277">
        <v>0</v>
      </c>
      <c r="Q200" s="251">
        <f t="shared" si="60"/>
        <v>879.61962780421152</v>
      </c>
    </row>
    <row r="201" spans="1:17" ht="15">
      <c r="A201" s="245">
        <f t="shared" si="57"/>
        <v>48792</v>
      </c>
      <c r="B201" s="261">
        <v>806465.73013979895</v>
      </c>
      <c r="C201" s="262">
        <v>806465.73013979895</v>
      </c>
      <c r="D201" s="261">
        <v>613120.52147032984</v>
      </c>
      <c r="E201" s="262">
        <v>613120.52147032984</v>
      </c>
      <c r="F201" s="261">
        <v>482584.22203847661</v>
      </c>
      <c r="G201" s="262">
        <v>482584.22203847661</v>
      </c>
      <c r="H201" s="261">
        <v>112831.89833107119</v>
      </c>
      <c r="I201" s="262">
        <v>112831.89833107119</v>
      </c>
      <c r="J201" s="261">
        <v>7392.8206553514037</v>
      </c>
      <c r="K201" s="261"/>
      <c r="L201" s="249">
        <f t="shared" si="58"/>
        <v>2033</v>
      </c>
      <c r="M201" s="247">
        <v>833.74439534890701</v>
      </c>
      <c r="N201" s="251">
        <f t="shared" si="59"/>
        <v>833.74439534890701</v>
      </c>
      <c r="O201" s="277">
        <v>0</v>
      </c>
      <c r="P201" s="277">
        <v>0</v>
      </c>
      <c r="Q201" s="251">
        <f t="shared" si="60"/>
        <v>833.74439534890701</v>
      </c>
    </row>
    <row r="202" spans="1:17" ht="15">
      <c r="A202" s="245">
        <f t="shared" si="57"/>
        <v>48823</v>
      </c>
      <c r="B202" s="261">
        <v>631423.07225755742</v>
      </c>
      <c r="C202" s="262">
        <v>631423.07225755742</v>
      </c>
      <c r="D202" s="261">
        <v>551560.49532726069</v>
      </c>
      <c r="E202" s="262">
        <v>551560.49532726069</v>
      </c>
      <c r="F202" s="261">
        <v>436941.4368769009</v>
      </c>
      <c r="G202" s="262">
        <v>436941.4368769009</v>
      </c>
      <c r="H202" s="261">
        <v>104792.17163153453</v>
      </c>
      <c r="I202" s="262">
        <v>104792.17163153453</v>
      </c>
      <c r="J202" s="261">
        <v>7513.4023377431495</v>
      </c>
      <c r="K202" s="261"/>
      <c r="L202" s="249">
        <f t="shared" si="58"/>
        <v>2033</v>
      </c>
      <c r="M202" s="247">
        <v>895.66331237273255</v>
      </c>
      <c r="N202" s="251">
        <f t="shared" si="59"/>
        <v>895.66331237273255</v>
      </c>
      <c r="O202" s="277">
        <v>0</v>
      </c>
      <c r="P202" s="277">
        <v>0</v>
      </c>
      <c r="Q202" s="251">
        <f t="shared" si="60"/>
        <v>895.66331237273255</v>
      </c>
    </row>
    <row r="203" spans="1:17" ht="15">
      <c r="A203" s="245">
        <f t="shared" si="57"/>
        <v>48853</v>
      </c>
      <c r="B203" s="261">
        <v>527012.94836330903</v>
      </c>
      <c r="C203" s="262">
        <v>527012.94836330903</v>
      </c>
      <c r="D203" s="261">
        <v>501606.32957145845</v>
      </c>
      <c r="E203" s="262">
        <v>501606.32957145845</v>
      </c>
      <c r="F203" s="261">
        <v>422464.06838223111</v>
      </c>
      <c r="G203" s="262">
        <v>422464.06838223111</v>
      </c>
      <c r="H203" s="261">
        <v>104468.52408412172</v>
      </c>
      <c r="I203" s="262">
        <v>104468.52408412172</v>
      </c>
      <c r="J203" s="261">
        <v>7059.1724924975315</v>
      </c>
      <c r="K203" s="261"/>
      <c r="L203" s="249">
        <f t="shared" si="58"/>
        <v>2033</v>
      </c>
      <c r="M203" s="247">
        <v>781.86573975814508</v>
      </c>
      <c r="N203" s="251">
        <f t="shared" si="59"/>
        <v>781.86573975814508</v>
      </c>
      <c r="O203" s="277">
        <v>0</v>
      </c>
      <c r="P203" s="277">
        <v>0</v>
      </c>
      <c r="Q203" s="251">
        <f t="shared" si="60"/>
        <v>781.86573975814508</v>
      </c>
    </row>
    <row r="204" spans="1:17" ht="15">
      <c r="A204" s="245">
        <f t="shared" si="57"/>
        <v>48884</v>
      </c>
      <c r="B204" s="261">
        <v>589489.40768627776</v>
      </c>
      <c r="C204" s="262">
        <v>589489.40768627776</v>
      </c>
      <c r="D204" s="261">
        <v>498109.51580801379</v>
      </c>
      <c r="E204" s="262">
        <v>498109.51580801379</v>
      </c>
      <c r="F204" s="261">
        <v>412417.95338614727</v>
      </c>
      <c r="G204" s="262">
        <v>412417.95338614727</v>
      </c>
      <c r="H204" s="261">
        <v>95798.160900548261</v>
      </c>
      <c r="I204" s="262">
        <v>95798.160900548261</v>
      </c>
      <c r="J204" s="261">
        <v>7073.1555005747368</v>
      </c>
      <c r="K204" s="261"/>
      <c r="L204" s="249">
        <f t="shared" si="58"/>
        <v>2033</v>
      </c>
      <c r="M204" s="247">
        <v>765.13589211705676</v>
      </c>
      <c r="N204" s="251">
        <f t="shared" si="59"/>
        <v>765.13589211705676</v>
      </c>
      <c r="O204" s="277">
        <v>0</v>
      </c>
      <c r="P204" s="277">
        <v>0</v>
      </c>
      <c r="Q204" s="251">
        <f t="shared" si="60"/>
        <v>765.13589211705676</v>
      </c>
    </row>
    <row r="205" spans="1:17" ht="15">
      <c r="A205" s="245">
        <f t="shared" si="57"/>
        <v>48914</v>
      </c>
      <c r="B205" s="261">
        <v>791077.3594338136</v>
      </c>
      <c r="C205" s="262">
        <v>791077.3594338136</v>
      </c>
      <c r="D205" s="261">
        <v>530109.49349293963</v>
      </c>
      <c r="E205" s="262">
        <v>530109.49349293963</v>
      </c>
      <c r="F205" s="261">
        <v>425294.95345719688</v>
      </c>
      <c r="G205" s="262">
        <v>425294.95345719688</v>
      </c>
      <c r="H205" s="261">
        <v>95725.519963127124</v>
      </c>
      <c r="I205" s="262">
        <v>95725.519963127124</v>
      </c>
      <c r="J205" s="261">
        <v>7618.1112689304846</v>
      </c>
      <c r="K205" s="261"/>
      <c r="L205" s="249">
        <f t="shared" si="58"/>
        <v>2033</v>
      </c>
      <c r="M205" s="247">
        <v>998.77078815248615</v>
      </c>
      <c r="N205" s="251">
        <f t="shared" si="59"/>
        <v>998.77078815248615</v>
      </c>
      <c r="O205" s="277">
        <v>0</v>
      </c>
      <c r="P205" s="277">
        <v>0</v>
      </c>
      <c r="Q205" s="251">
        <f t="shared" si="60"/>
        <v>998.77078815248615</v>
      </c>
    </row>
    <row r="206" spans="1:17" ht="15">
      <c r="A206" s="245">
        <f t="shared" si="57"/>
        <v>48945</v>
      </c>
      <c r="B206" s="261">
        <v>782893.23612930055</v>
      </c>
      <c r="C206" s="262">
        <v>782893.23612930055</v>
      </c>
      <c r="D206" s="261">
        <v>537075.76407360414</v>
      </c>
      <c r="E206" s="262">
        <v>537075.76407360414</v>
      </c>
      <c r="F206" s="261">
        <v>426829.90391406562</v>
      </c>
      <c r="G206" s="262">
        <v>426829.90391406562</v>
      </c>
      <c r="H206" s="261">
        <v>94548.737217394737</v>
      </c>
      <c r="I206" s="262">
        <v>94548.737217394737</v>
      </c>
      <c r="J206" s="261">
        <v>7118.7531659410333</v>
      </c>
      <c r="K206" s="261"/>
      <c r="L206" s="249">
        <f t="shared" ref="L206:L217" si="61">YEAR(A206)</f>
        <v>2034</v>
      </c>
      <c r="M206" s="247">
        <v>1042.5210167297887</v>
      </c>
      <c r="N206" s="251">
        <f t="shared" ref="N206:N217" si="62">K206+M206</f>
        <v>1042.5210167297887</v>
      </c>
      <c r="O206" s="277">
        <v>0</v>
      </c>
      <c r="P206" s="277">
        <v>0</v>
      </c>
      <c r="Q206" s="251">
        <f t="shared" ref="Q206:Q217" si="63">K206+M206-O206-P206</f>
        <v>1042.5210167297887</v>
      </c>
    </row>
    <row r="207" spans="1:17" ht="15">
      <c r="A207" s="245">
        <f t="shared" si="57"/>
        <v>48976</v>
      </c>
      <c r="B207" s="261">
        <v>727149.472694439</v>
      </c>
      <c r="C207" s="262">
        <v>727149.472694439</v>
      </c>
      <c r="D207" s="261">
        <v>499349.6000555905</v>
      </c>
      <c r="E207" s="262">
        <v>499349.6000555905</v>
      </c>
      <c r="F207" s="261">
        <v>399700.1709472767</v>
      </c>
      <c r="G207" s="262">
        <v>399700.1709472767</v>
      </c>
      <c r="H207" s="261">
        <v>93522.370614145446</v>
      </c>
      <c r="I207" s="262">
        <v>93522.370614145446</v>
      </c>
      <c r="J207" s="261">
        <v>7480.5665054545316</v>
      </c>
      <c r="K207" s="261"/>
      <c r="L207" s="249">
        <f t="shared" si="61"/>
        <v>2034</v>
      </c>
      <c r="M207" s="247">
        <v>897.92570474262072</v>
      </c>
      <c r="N207" s="251">
        <f t="shared" si="62"/>
        <v>897.92570474262072</v>
      </c>
      <c r="O207" s="277">
        <v>0</v>
      </c>
      <c r="P207" s="277">
        <v>0</v>
      </c>
      <c r="Q207" s="251">
        <f t="shared" si="63"/>
        <v>897.92570474262072</v>
      </c>
    </row>
    <row r="208" spans="1:17" ht="15">
      <c r="A208" s="245">
        <f t="shared" si="57"/>
        <v>49004</v>
      </c>
      <c r="B208" s="261">
        <v>613577.47409374348</v>
      </c>
      <c r="C208" s="262">
        <v>613577.47409374348</v>
      </c>
      <c r="D208" s="261">
        <v>507644.40985250304</v>
      </c>
      <c r="E208" s="262">
        <v>507644.40985250304</v>
      </c>
      <c r="F208" s="261">
        <v>433286.03209458198</v>
      </c>
      <c r="G208" s="262">
        <v>433286.03209458198</v>
      </c>
      <c r="H208" s="261">
        <v>97166.770520783073</v>
      </c>
      <c r="I208" s="262">
        <v>97166.770520783073</v>
      </c>
      <c r="J208" s="261">
        <v>7249.7097000801514</v>
      </c>
      <c r="K208" s="261"/>
      <c r="L208" s="249">
        <f t="shared" si="61"/>
        <v>2034</v>
      </c>
      <c r="M208" s="247">
        <v>1039.2360392866094</v>
      </c>
      <c r="N208" s="251">
        <f t="shared" si="62"/>
        <v>1039.2360392866094</v>
      </c>
      <c r="O208" s="277">
        <v>0</v>
      </c>
      <c r="P208" s="277">
        <v>0</v>
      </c>
      <c r="Q208" s="251">
        <f t="shared" si="63"/>
        <v>1039.2360392866094</v>
      </c>
    </row>
    <row r="209" spans="1:17" ht="15">
      <c r="A209" s="245">
        <f t="shared" si="57"/>
        <v>49035</v>
      </c>
      <c r="B209" s="261">
        <v>537978.66927570803</v>
      </c>
      <c r="C209" s="262">
        <v>537978.66927570803</v>
      </c>
      <c r="D209" s="261">
        <v>478160.81293022039</v>
      </c>
      <c r="E209" s="262">
        <v>478160.81293022039</v>
      </c>
      <c r="F209" s="261">
        <v>410566.03043393901</v>
      </c>
      <c r="G209" s="262">
        <v>410566.03043393901</v>
      </c>
      <c r="H209" s="261">
        <v>93620.415216041438</v>
      </c>
      <c r="I209" s="262">
        <v>93620.415216041438</v>
      </c>
      <c r="J209" s="261">
        <v>7340.738544283975</v>
      </c>
      <c r="K209" s="261"/>
      <c r="L209" s="249">
        <f t="shared" si="61"/>
        <v>2034</v>
      </c>
      <c r="M209" s="247">
        <v>829.41328980426988</v>
      </c>
      <c r="N209" s="251">
        <f t="shared" si="62"/>
        <v>829.41328980426988</v>
      </c>
      <c r="O209" s="277">
        <v>0</v>
      </c>
      <c r="P209" s="277">
        <v>0</v>
      </c>
      <c r="Q209" s="251">
        <f t="shared" si="63"/>
        <v>829.41328980426988</v>
      </c>
    </row>
    <row r="210" spans="1:17" ht="15">
      <c r="A210" s="245">
        <f t="shared" si="57"/>
        <v>49065</v>
      </c>
      <c r="B210" s="261">
        <v>537526.96378583612</v>
      </c>
      <c r="C210" s="262">
        <v>537526.96378583612</v>
      </c>
      <c r="D210" s="261">
        <v>491943.9687060577</v>
      </c>
      <c r="E210" s="262">
        <v>491943.9687060577</v>
      </c>
      <c r="F210" s="261">
        <v>391118.84708710347</v>
      </c>
      <c r="G210" s="262">
        <v>391118.84708710347</v>
      </c>
      <c r="H210" s="261">
        <v>96046.522101127179</v>
      </c>
      <c r="I210" s="262">
        <v>96046.522101127179</v>
      </c>
      <c r="J210" s="261">
        <v>7239.1190373749532</v>
      </c>
      <c r="K210" s="261"/>
      <c r="L210" s="249">
        <f t="shared" si="61"/>
        <v>2034</v>
      </c>
      <c r="M210" s="247">
        <v>846.85524935721014</v>
      </c>
      <c r="N210" s="251">
        <f t="shared" si="62"/>
        <v>846.85524935721014</v>
      </c>
      <c r="O210" s="277">
        <v>0</v>
      </c>
      <c r="P210" s="277">
        <v>0</v>
      </c>
      <c r="Q210" s="251">
        <f t="shared" si="63"/>
        <v>846.85524935721014</v>
      </c>
    </row>
    <row r="211" spans="1:17" ht="15">
      <c r="A211" s="245">
        <f t="shared" si="57"/>
        <v>49096</v>
      </c>
      <c r="B211" s="261">
        <v>710292.52464510582</v>
      </c>
      <c r="C211" s="262">
        <v>710292.52464510582</v>
      </c>
      <c r="D211" s="261">
        <v>574680.92967536976</v>
      </c>
      <c r="E211" s="262">
        <v>574680.92967536976</v>
      </c>
      <c r="F211" s="261">
        <v>464936.83261851373</v>
      </c>
      <c r="G211" s="262">
        <v>464936.83261851373</v>
      </c>
      <c r="H211" s="261">
        <v>98101.499947142962</v>
      </c>
      <c r="I211" s="262">
        <v>98101.499947142962</v>
      </c>
      <c r="J211" s="261">
        <v>7075.8083823777815</v>
      </c>
      <c r="K211" s="261"/>
      <c r="L211" s="249">
        <f t="shared" si="61"/>
        <v>2034</v>
      </c>
      <c r="M211" s="247">
        <v>771.49315914719523</v>
      </c>
      <c r="N211" s="251">
        <f t="shared" si="62"/>
        <v>771.49315914719523</v>
      </c>
      <c r="O211" s="277">
        <v>0</v>
      </c>
      <c r="P211" s="277">
        <v>0</v>
      </c>
      <c r="Q211" s="251">
        <f t="shared" si="63"/>
        <v>771.49315914719523</v>
      </c>
    </row>
    <row r="212" spans="1:17" ht="15">
      <c r="A212" s="245">
        <f t="shared" si="57"/>
        <v>49126</v>
      </c>
      <c r="B212" s="261">
        <v>822899.93142330146</v>
      </c>
      <c r="C212" s="262">
        <v>822899.93142330146</v>
      </c>
      <c r="D212" s="261">
        <v>636443.49600234348</v>
      </c>
      <c r="E212" s="262">
        <v>636443.49600234348</v>
      </c>
      <c r="F212" s="261">
        <v>449022.6237775209</v>
      </c>
      <c r="G212" s="262">
        <v>449022.6237775209</v>
      </c>
      <c r="H212" s="261">
        <v>114009.99299908448</v>
      </c>
      <c r="I212" s="262">
        <v>114009.99299908448</v>
      </c>
      <c r="J212" s="261">
        <v>7192.8416407165887</v>
      </c>
      <c r="K212" s="261"/>
      <c r="L212" s="249">
        <f t="shared" si="61"/>
        <v>2034</v>
      </c>
      <c r="M212" s="247">
        <v>879.61962780420879</v>
      </c>
      <c r="N212" s="251">
        <f t="shared" si="62"/>
        <v>879.61962780420879</v>
      </c>
      <c r="O212" s="277">
        <v>0</v>
      </c>
      <c r="P212" s="277">
        <v>0</v>
      </c>
      <c r="Q212" s="251">
        <f t="shared" si="63"/>
        <v>879.61962780420879</v>
      </c>
    </row>
    <row r="213" spans="1:17" ht="15">
      <c r="A213" s="245">
        <f t="shared" si="57"/>
        <v>49157</v>
      </c>
      <c r="B213" s="261">
        <v>817377.03077294421</v>
      </c>
      <c r="C213" s="262">
        <v>817377.03077294421</v>
      </c>
      <c r="D213" s="261">
        <v>619120.80018202146</v>
      </c>
      <c r="E213" s="262">
        <v>619120.80018202146</v>
      </c>
      <c r="F213" s="261">
        <v>483234.38656509179</v>
      </c>
      <c r="G213" s="262">
        <v>483234.38656509179</v>
      </c>
      <c r="H213" s="261">
        <v>112877.06205664079</v>
      </c>
      <c r="I213" s="262">
        <v>112877.06205664079</v>
      </c>
      <c r="J213" s="261">
        <v>7374.4401053911188</v>
      </c>
      <c r="K213" s="261"/>
      <c r="L213" s="249">
        <f t="shared" si="61"/>
        <v>2034</v>
      </c>
      <c r="M213" s="247">
        <v>833.74439534890848</v>
      </c>
      <c r="N213" s="251">
        <f t="shared" si="62"/>
        <v>833.74439534890848</v>
      </c>
      <c r="O213" s="277">
        <v>0</v>
      </c>
      <c r="P213" s="277">
        <v>0</v>
      </c>
      <c r="Q213" s="251">
        <f t="shared" si="63"/>
        <v>833.74439534890848</v>
      </c>
    </row>
    <row r="214" spans="1:17" ht="15">
      <c r="A214" s="245">
        <f t="shared" si="57"/>
        <v>49188</v>
      </c>
      <c r="B214" s="261">
        <v>640467.16810173355</v>
      </c>
      <c r="C214" s="262">
        <v>640467.16810173355</v>
      </c>
      <c r="D214" s="261">
        <v>556950.24258145178</v>
      </c>
      <c r="E214" s="262">
        <v>556950.24258145178</v>
      </c>
      <c r="F214" s="261">
        <v>437582.11248016608</v>
      </c>
      <c r="G214" s="262">
        <v>437582.11248016608</v>
      </c>
      <c r="H214" s="261">
        <v>104837.00276211875</v>
      </c>
      <c r="I214" s="262">
        <v>104837.00276211875</v>
      </c>
      <c r="J214" s="261">
        <v>7495.066515678639</v>
      </c>
      <c r="K214" s="261"/>
      <c r="L214" s="249">
        <f t="shared" si="61"/>
        <v>2034</v>
      </c>
      <c r="M214" s="247">
        <v>895.66331237273266</v>
      </c>
      <c r="N214" s="251">
        <f t="shared" si="62"/>
        <v>895.66331237273266</v>
      </c>
      <c r="O214" s="277">
        <v>0</v>
      </c>
      <c r="P214" s="277">
        <v>0</v>
      </c>
      <c r="Q214" s="251">
        <f t="shared" si="63"/>
        <v>895.66331237273266</v>
      </c>
    </row>
    <row r="215" spans="1:17" ht="15">
      <c r="A215" s="245">
        <f t="shared" si="57"/>
        <v>49218</v>
      </c>
      <c r="B215" s="261">
        <v>535864.21892063098</v>
      </c>
      <c r="C215" s="262">
        <v>535864.21892063098</v>
      </c>
      <c r="D215" s="261">
        <v>507520.47738775582</v>
      </c>
      <c r="E215" s="262">
        <v>507520.47738775582</v>
      </c>
      <c r="F215" s="261">
        <v>423198.82774100231</v>
      </c>
      <c r="G215" s="262">
        <v>423198.82774100231</v>
      </c>
      <c r="H215" s="261">
        <v>104512.94286022302</v>
      </c>
      <c r="I215" s="262">
        <v>104512.94286022302</v>
      </c>
      <c r="J215" s="261">
        <v>7040.8811811566884</v>
      </c>
      <c r="K215" s="261"/>
      <c r="L215" s="249">
        <f t="shared" si="61"/>
        <v>2034</v>
      </c>
      <c r="M215" s="247">
        <v>781.86573975814406</v>
      </c>
      <c r="N215" s="251">
        <f t="shared" si="62"/>
        <v>781.86573975814406</v>
      </c>
      <c r="O215" s="277">
        <v>0</v>
      </c>
      <c r="P215" s="277">
        <v>0</v>
      </c>
      <c r="Q215" s="251">
        <f t="shared" si="63"/>
        <v>781.86573975814406</v>
      </c>
    </row>
    <row r="216" spans="1:17" ht="15">
      <c r="A216" s="245">
        <f t="shared" si="57"/>
        <v>49249</v>
      </c>
      <c r="B216" s="261">
        <v>597792.72471465415</v>
      </c>
      <c r="C216" s="262">
        <v>597792.72471465415</v>
      </c>
      <c r="D216" s="261">
        <v>504302.15310309856</v>
      </c>
      <c r="E216" s="262">
        <v>504302.15310309856</v>
      </c>
      <c r="F216" s="261">
        <v>413221.13453797414</v>
      </c>
      <c r="G216" s="262">
        <v>413221.13453797414</v>
      </c>
      <c r="H216" s="261">
        <v>95842.082901567992</v>
      </c>
      <c r="I216" s="262">
        <v>95842.082901567992</v>
      </c>
      <c r="J216" s="261">
        <v>7054.9084843637584</v>
      </c>
      <c r="K216" s="261"/>
      <c r="L216" s="249">
        <f t="shared" si="61"/>
        <v>2034</v>
      </c>
      <c r="M216" s="247">
        <v>765.1358921170571</v>
      </c>
      <c r="N216" s="251">
        <f t="shared" si="62"/>
        <v>765.1358921170571</v>
      </c>
      <c r="O216" s="277">
        <v>0</v>
      </c>
      <c r="P216" s="277">
        <v>0</v>
      </c>
      <c r="Q216" s="251">
        <f t="shared" si="63"/>
        <v>765.1358921170571</v>
      </c>
    </row>
    <row r="217" spans="1:17" ht="15">
      <c r="A217" s="245">
        <f t="shared" si="57"/>
        <v>49279</v>
      </c>
      <c r="B217" s="261">
        <v>799918.48397295317</v>
      </c>
      <c r="C217" s="262">
        <v>799918.48397295317</v>
      </c>
      <c r="D217" s="261">
        <v>537186.38856326859</v>
      </c>
      <c r="E217" s="262">
        <v>537186.38856326859</v>
      </c>
      <c r="F217" s="261">
        <v>426222.09713873151</v>
      </c>
      <c r="G217" s="262">
        <v>426222.09713873151</v>
      </c>
      <c r="H217" s="261">
        <v>95768.851012746891</v>
      </c>
      <c r="I217" s="262">
        <v>95768.851012746891</v>
      </c>
      <c r="J217" s="261">
        <v>7599.908333818129</v>
      </c>
      <c r="K217" s="261"/>
      <c r="L217" s="249">
        <f t="shared" si="61"/>
        <v>2034</v>
      </c>
      <c r="M217" s="247">
        <v>998.77078815248615</v>
      </c>
      <c r="N217" s="251">
        <f t="shared" si="62"/>
        <v>998.77078815248615</v>
      </c>
      <c r="O217" s="277">
        <v>0</v>
      </c>
      <c r="P217" s="277">
        <v>0</v>
      </c>
      <c r="Q217" s="251">
        <f t="shared" si="63"/>
        <v>998.77078815248615</v>
      </c>
    </row>
    <row r="218" spans="1:17" ht="15">
      <c r="A218" s="245"/>
      <c r="B218" s="261"/>
      <c r="C218" s="262"/>
      <c r="D218" s="261"/>
      <c r="E218" s="262"/>
      <c r="F218" s="261"/>
      <c r="G218" s="262"/>
      <c r="H218" s="261"/>
      <c r="I218" s="262"/>
      <c r="J218" s="261"/>
      <c r="K218" s="261"/>
      <c r="L218" s="249"/>
      <c r="M218" s="247"/>
      <c r="N218" s="251"/>
      <c r="O218" s="277"/>
      <c r="P218" s="277"/>
      <c r="Q218" s="251"/>
    </row>
    <row r="219" spans="1:17" ht="15">
      <c r="A219" s="245"/>
      <c r="B219" s="261"/>
      <c r="C219" s="262"/>
      <c r="D219" s="261"/>
      <c r="E219" s="262"/>
      <c r="F219" s="261"/>
      <c r="G219" s="262"/>
      <c r="H219" s="261"/>
      <c r="I219" s="262"/>
      <c r="J219" s="261"/>
      <c r="K219" s="261"/>
      <c r="L219" s="249"/>
      <c r="M219" s="247"/>
      <c r="N219" s="251"/>
      <c r="O219" s="277"/>
      <c r="P219" s="277"/>
      <c r="Q219" s="251"/>
    </row>
    <row r="220" spans="1:17">
      <c r="B220" s="295"/>
      <c r="C220" s="295"/>
      <c r="D220" s="295"/>
      <c r="E220" s="295"/>
      <c r="F220" s="295"/>
      <c r="G220" s="295"/>
      <c r="H220" s="295"/>
      <c r="I220" s="295"/>
    </row>
    <row r="221" spans="1:17">
      <c r="B221" s="295"/>
      <c r="C221" s="295"/>
      <c r="D221" s="295"/>
      <c r="E221" s="295"/>
      <c r="F221" s="295"/>
      <c r="G221" s="295"/>
      <c r="H221" s="295"/>
      <c r="I221" s="295"/>
    </row>
    <row r="222" spans="1:17">
      <c r="B222" s="295"/>
      <c r="C222" s="295"/>
      <c r="D222" s="295"/>
      <c r="E222" s="295"/>
      <c r="F222" s="295"/>
      <c r="G222" s="295"/>
      <c r="H222" s="295"/>
      <c r="I222" s="295"/>
    </row>
    <row r="223" spans="1:17">
      <c r="B223" s="295"/>
      <c r="C223" s="295"/>
      <c r="D223" s="295"/>
      <c r="E223" s="295"/>
      <c r="F223" s="295"/>
      <c r="G223" s="295"/>
      <c r="H223" s="295"/>
      <c r="I223" s="295"/>
    </row>
    <row r="224" spans="1:17">
      <c r="B224" s="295"/>
      <c r="C224" s="295"/>
      <c r="D224" s="295"/>
      <c r="E224" s="295"/>
      <c r="F224" s="295"/>
      <c r="G224" s="295"/>
      <c r="H224" s="295"/>
      <c r="I224" s="295"/>
    </row>
    <row r="225" spans="2:9">
      <c r="B225" s="295"/>
      <c r="C225" s="295"/>
      <c r="D225" s="295"/>
      <c r="E225" s="295"/>
      <c r="F225" s="295"/>
      <c r="G225" s="295"/>
      <c r="H225" s="295"/>
      <c r="I225" s="295"/>
    </row>
    <row r="226" spans="2:9">
      <c r="B226" s="295"/>
      <c r="C226" s="295"/>
      <c r="D226" s="295"/>
      <c r="E226" s="295"/>
      <c r="F226" s="295"/>
      <c r="G226" s="295"/>
      <c r="H226" s="295"/>
      <c r="I226" s="295"/>
    </row>
    <row r="227" spans="2:9">
      <c r="B227" s="295"/>
      <c r="C227" s="295"/>
      <c r="D227" s="295"/>
      <c r="E227" s="295"/>
      <c r="F227" s="295"/>
      <c r="G227" s="295"/>
      <c r="H227" s="295"/>
      <c r="I227" s="295"/>
    </row>
    <row r="228" spans="2:9">
      <c r="B228" s="295"/>
      <c r="C228" s="295"/>
      <c r="D228" s="295"/>
      <c r="E228" s="295"/>
      <c r="F228" s="295"/>
      <c r="G228" s="295"/>
      <c r="H228" s="295"/>
      <c r="I228" s="295"/>
    </row>
    <row r="229" spans="2:9">
      <c r="B229" s="295"/>
      <c r="C229" s="295"/>
      <c r="D229" s="295"/>
      <c r="E229" s="295"/>
      <c r="F229" s="295"/>
      <c r="G229" s="295"/>
      <c r="H229" s="295"/>
      <c r="I229" s="295"/>
    </row>
    <row r="230" spans="2:9">
      <c r="B230" s="295"/>
      <c r="C230" s="295"/>
      <c r="D230" s="295"/>
      <c r="E230" s="295"/>
      <c r="F230" s="295"/>
      <c r="G230" s="295"/>
      <c r="H230" s="295"/>
      <c r="I230" s="295"/>
    </row>
    <row r="231" spans="2:9">
      <c r="B231" s="295"/>
      <c r="C231" s="295"/>
      <c r="D231" s="295"/>
      <c r="E231" s="295"/>
      <c r="F231" s="295"/>
      <c r="G231" s="295"/>
      <c r="H231" s="295"/>
      <c r="I231" s="295"/>
    </row>
    <row r="232" spans="2:9">
      <c r="B232" s="295"/>
      <c r="C232" s="295"/>
      <c r="D232" s="295"/>
      <c r="E232" s="295"/>
      <c r="F232" s="295"/>
      <c r="G232" s="295"/>
      <c r="H232" s="295"/>
      <c r="I232" s="295"/>
    </row>
    <row r="233" spans="2:9">
      <c r="B233" s="295"/>
      <c r="C233" s="295"/>
      <c r="D233" s="295"/>
      <c r="E233" s="295"/>
      <c r="F233" s="295"/>
      <c r="G233" s="295"/>
      <c r="H233" s="295"/>
      <c r="I233" s="295"/>
    </row>
    <row r="234" spans="2:9">
      <c r="B234" s="295"/>
      <c r="C234" s="295"/>
      <c r="D234" s="295"/>
      <c r="E234" s="295"/>
      <c r="F234" s="295"/>
      <c r="G234" s="295"/>
      <c r="H234" s="295"/>
      <c r="I234" s="295"/>
    </row>
    <row r="235" spans="2:9">
      <c r="B235" s="295"/>
      <c r="C235" s="295"/>
      <c r="D235" s="295"/>
      <c r="E235" s="295"/>
      <c r="F235" s="295"/>
      <c r="G235" s="295"/>
      <c r="H235" s="295"/>
      <c r="I235" s="295"/>
    </row>
    <row r="236" spans="2:9">
      <c r="B236" s="295"/>
      <c r="C236" s="295"/>
      <c r="D236" s="295"/>
      <c r="E236" s="295"/>
      <c r="F236" s="295"/>
      <c r="G236" s="295"/>
      <c r="H236" s="295"/>
      <c r="I236" s="295"/>
    </row>
    <row r="237" spans="2:9">
      <c r="B237" s="295"/>
      <c r="C237" s="295"/>
      <c r="D237" s="295"/>
      <c r="E237" s="295"/>
      <c r="F237" s="295"/>
      <c r="G237" s="295"/>
      <c r="H237" s="295"/>
      <c r="I237" s="295"/>
    </row>
    <row r="238" spans="2:9">
      <c r="B238" s="295"/>
      <c r="C238" s="295"/>
      <c r="D238" s="295"/>
      <c r="E238" s="295"/>
      <c r="F238" s="295"/>
      <c r="G238" s="295"/>
      <c r="H238" s="295"/>
      <c r="I238" s="295"/>
    </row>
    <row r="239" spans="2:9">
      <c r="B239" s="295"/>
      <c r="C239" s="295"/>
      <c r="D239" s="295"/>
      <c r="E239" s="295"/>
      <c r="F239" s="295"/>
      <c r="G239" s="295"/>
      <c r="H239" s="295"/>
      <c r="I239" s="295"/>
    </row>
    <row r="240" spans="2:9">
      <c r="B240" s="295"/>
      <c r="C240" s="295"/>
      <c r="D240" s="295"/>
      <c r="E240" s="295"/>
      <c r="F240" s="295"/>
      <c r="G240" s="295"/>
      <c r="H240" s="295"/>
      <c r="I240" s="295"/>
    </row>
    <row r="241" spans="2:9">
      <c r="B241" s="295"/>
      <c r="C241" s="295"/>
      <c r="D241" s="295"/>
      <c r="E241" s="295"/>
      <c r="F241" s="295"/>
      <c r="G241" s="295"/>
      <c r="H241" s="295"/>
      <c r="I241" s="295"/>
    </row>
    <row r="242" spans="2:9">
      <c r="B242" s="295"/>
      <c r="C242" s="295"/>
      <c r="D242" s="295"/>
      <c r="E242" s="295"/>
      <c r="F242" s="295"/>
      <c r="G242" s="295"/>
      <c r="H242" s="295"/>
      <c r="I242" s="295"/>
    </row>
    <row r="243" spans="2:9">
      <c r="B243" s="295"/>
      <c r="C243" s="295"/>
      <c r="D243" s="295"/>
      <c r="E243" s="295"/>
      <c r="F243" s="295"/>
      <c r="G243" s="295"/>
      <c r="H243" s="295"/>
      <c r="I243" s="295"/>
    </row>
    <row r="244" spans="2:9">
      <c r="B244" s="295"/>
      <c r="C244" s="295"/>
      <c r="D244" s="295"/>
      <c r="E244" s="295"/>
      <c r="F244" s="295"/>
      <c r="G244" s="295"/>
      <c r="H244" s="295"/>
      <c r="I244" s="295"/>
    </row>
    <row r="245" spans="2:9">
      <c r="B245" s="295"/>
      <c r="C245" s="295"/>
      <c r="D245" s="295"/>
      <c r="E245" s="295"/>
      <c r="F245" s="295"/>
      <c r="G245" s="295"/>
      <c r="H245" s="295"/>
      <c r="I245" s="295"/>
    </row>
    <row r="246" spans="2:9">
      <c r="B246" s="295"/>
      <c r="C246" s="295"/>
      <c r="D246" s="295"/>
      <c r="E246" s="295"/>
      <c r="F246" s="295"/>
      <c r="G246" s="295"/>
      <c r="H246" s="295"/>
      <c r="I246" s="295"/>
    </row>
    <row r="247" spans="2:9">
      <c r="B247" s="295"/>
      <c r="C247" s="295"/>
      <c r="D247" s="295"/>
      <c r="E247" s="295"/>
      <c r="F247" s="295"/>
      <c r="G247" s="295"/>
      <c r="H247" s="295"/>
      <c r="I247" s="295"/>
    </row>
    <row r="248" spans="2:9">
      <c r="B248" s="295"/>
      <c r="C248" s="295"/>
      <c r="D248" s="295"/>
      <c r="E248" s="295"/>
      <c r="F248" s="295"/>
      <c r="G248" s="295"/>
      <c r="H248" s="295"/>
      <c r="I248" s="295"/>
    </row>
    <row r="249" spans="2:9">
      <c r="B249" s="295"/>
      <c r="C249" s="295"/>
      <c r="D249" s="295"/>
      <c r="E249" s="295"/>
      <c r="F249" s="295"/>
      <c r="G249" s="295"/>
      <c r="H249" s="295"/>
      <c r="I249" s="295"/>
    </row>
    <row r="250" spans="2:9">
      <c r="B250" s="295"/>
      <c r="C250" s="295"/>
      <c r="D250" s="295"/>
      <c r="E250" s="295"/>
      <c r="F250" s="295"/>
      <c r="G250" s="295"/>
      <c r="H250" s="295"/>
      <c r="I250" s="295"/>
    </row>
    <row r="251" spans="2:9">
      <c r="B251" s="295"/>
      <c r="C251" s="295"/>
      <c r="D251" s="295"/>
      <c r="E251" s="295"/>
      <c r="F251" s="295"/>
      <c r="G251" s="295"/>
      <c r="H251" s="295"/>
      <c r="I251" s="295"/>
    </row>
    <row r="252" spans="2:9">
      <c r="B252" s="295"/>
      <c r="C252" s="295"/>
      <c r="D252" s="295"/>
      <c r="E252" s="295"/>
      <c r="F252" s="295"/>
      <c r="G252" s="295"/>
      <c r="H252" s="295"/>
      <c r="I252" s="295"/>
    </row>
    <row r="253" spans="2:9">
      <c r="B253" s="295"/>
      <c r="C253" s="295"/>
      <c r="D253" s="295"/>
      <c r="E253" s="295"/>
      <c r="F253" s="295"/>
      <c r="G253" s="295"/>
      <c r="H253" s="295"/>
      <c r="I253" s="295"/>
    </row>
    <row r="254" spans="2:9">
      <c r="B254" s="295"/>
      <c r="C254" s="295"/>
      <c r="D254" s="295"/>
      <c r="E254" s="295"/>
      <c r="F254" s="295"/>
      <c r="G254" s="295"/>
      <c r="H254" s="295"/>
      <c r="I254" s="295"/>
    </row>
    <row r="255" spans="2:9">
      <c r="B255" s="295"/>
      <c r="C255" s="295"/>
      <c r="D255" s="295"/>
      <c r="E255" s="295"/>
      <c r="F255" s="295"/>
      <c r="G255" s="295"/>
      <c r="H255" s="295"/>
      <c r="I255" s="295"/>
    </row>
    <row r="256" spans="2:9">
      <c r="B256" s="295"/>
      <c r="C256" s="295"/>
      <c r="D256" s="295"/>
      <c r="E256" s="295"/>
      <c r="F256" s="295"/>
      <c r="G256" s="295"/>
      <c r="H256" s="295"/>
      <c r="I256" s="295"/>
    </row>
    <row r="257" spans="2:9">
      <c r="B257" s="295"/>
      <c r="C257" s="295"/>
      <c r="D257" s="295"/>
      <c r="E257" s="295"/>
      <c r="F257" s="295"/>
      <c r="G257" s="295"/>
      <c r="H257" s="295"/>
      <c r="I257" s="295"/>
    </row>
    <row r="258" spans="2:9">
      <c r="B258" s="295"/>
      <c r="C258" s="295"/>
      <c r="D258" s="295"/>
      <c r="E258" s="295"/>
      <c r="F258" s="295"/>
      <c r="G258" s="295"/>
      <c r="H258" s="295"/>
      <c r="I258" s="295"/>
    </row>
    <row r="259" spans="2:9">
      <c r="B259" s="295"/>
      <c r="C259" s="295"/>
      <c r="D259" s="295"/>
      <c r="E259" s="295"/>
      <c r="F259" s="295"/>
      <c r="G259" s="295"/>
      <c r="H259" s="295"/>
      <c r="I259" s="295"/>
    </row>
    <row r="260" spans="2:9">
      <c r="B260" s="295"/>
      <c r="C260" s="295"/>
      <c r="D260" s="295"/>
      <c r="E260" s="295"/>
      <c r="F260" s="295"/>
      <c r="G260" s="295"/>
      <c r="H260" s="295"/>
      <c r="I260" s="295"/>
    </row>
    <row r="261" spans="2:9">
      <c r="B261" s="295"/>
      <c r="C261" s="295"/>
      <c r="D261" s="295"/>
      <c r="E261" s="295"/>
      <c r="F261" s="295"/>
      <c r="G261" s="295"/>
      <c r="H261" s="295"/>
      <c r="I261" s="295"/>
    </row>
    <row r="262" spans="2:9">
      <c r="B262" s="295"/>
      <c r="C262" s="295"/>
      <c r="D262" s="295"/>
      <c r="E262" s="295"/>
      <c r="F262" s="295"/>
      <c r="G262" s="295"/>
      <c r="H262" s="295"/>
      <c r="I262" s="295"/>
    </row>
    <row r="263" spans="2:9">
      <c r="B263" s="295"/>
      <c r="C263" s="295"/>
      <c r="D263" s="295"/>
      <c r="E263" s="295"/>
      <c r="F263" s="295"/>
      <c r="G263" s="295"/>
      <c r="H263" s="295"/>
      <c r="I263" s="295"/>
    </row>
    <row r="264" spans="2:9">
      <c r="B264" s="295"/>
      <c r="C264" s="295"/>
      <c r="D264" s="295"/>
      <c r="E264" s="295"/>
      <c r="F264" s="295"/>
      <c r="G264" s="295"/>
      <c r="H264" s="295"/>
      <c r="I264" s="295"/>
    </row>
    <row r="265" spans="2:9">
      <c r="B265" s="295"/>
      <c r="C265" s="295"/>
      <c r="D265" s="295"/>
      <c r="E265" s="295"/>
      <c r="F265" s="295"/>
      <c r="G265" s="295"/>
      <c r="H265" s="295"/>
      <c r="I265" s="295"/>
    </row>
    <row r="266" spans="2:9">
      <c r="B266" s="295"/>
      <c r="C266" s="295"/>
      <c r="D266" s="295"/>
      <c r="E266" s="295"/>
      <c r="F266" s="295"/>
      <c r="G266" s="295"/>
      <c r="H266" s="295"/>
      <c r="I266" s="295"/>
    </row>
    <row r="267" spans="2:9">
      <c r="B267" s="295"/>
      <c r="C267" s="295"/>
      <c r="D267" s="295"/>
      <c r="E267" s="295"/>
      <c r="F267" s="295"/>
      <c r="G267" s="295"/>
      <c r="H267" s="295"/>
      <c r="I267" s="295"/>
    </row>
    <row r="268" spans="2:9">
      <c r="B268" s="295"/>
      <c r="C268" s="295"/>
      <c r="D268" s="295"/>
      <c r="E268" s="295"/>
      <c r="F268" s="295"/>
      <c r="G268" s="295"/>
      <c r="H268" s="295"/>
      <c r="I268" s="295"/>
    </row>
    <row r="269" spans="2:9">
      <c r="B269" s="295"/>
      <c r="C269" s="295"/>
      <c r="D269" s="295"/>
      <c r="E269" s="295"/>
      <c r="F269" s="295"/>
      <c r="G269" s="295"/>
      <c r="H269" s="295"/>
      <c r="I269" s="295"/>
    </row>
    <row r="270" spans="2:9">
      <c r="B270" s="295"/>
      <c r="C270" s="295"/>
      <c r="D270" s="295"/>
      <c r="E270" s="295"/>
      <c r="F270" s="295"/>
      <c r="G270" s="295"/>
      <c r="H270" s="295"/>
      <c r="I270" s="295"/>
    </row>
    <row r="271" spans="2:9">
      <c r="B271" s="295"/>
      <c r="C271" s="295"/>
      <c r="D271" s="295"/>
      <c r="E271" s="295"/>
      <c r="F271" s="295"/>
      <c r="G271" s="295"/>
      <c r="H271" s="295"/>
      <c r="I271" s="295"/>
    </row>
    <row r="272" spans="2:9">
      <c r="B272" s="295"/>
      <c r="C272" s="295"/>
      <c r="D272" s="295"/>
      <c r="E272" s="295"/>
      <c r="F272" s="295"/>
      <c r="G272" s="295"/>
      <c r="H272" s="295"/>
      <c r="I272" s="295"/>
    </row>
    <row r="273" spans="2:9">
      <c r="B273" s="295"/>
      <c r="C273" s="295"/>
      <c r="D273" s="295"/>
      <c r="E273" s="295"/>
      <c r="F273" s="295"/>
      <c r="G273" s="295"/>
      <c r="H273" s="295"/>
      <c r="I273" s="295"/>
    </row>
    <row r="274" spans="2:9">
      <c r="B274" s="295"/>
      <c r="C274" s="295"/>
      <c r="D274" s="295"/>
      <c r="E274" s="295"/>
      <c r="F274" s="295"/>
      <c r="G274" s="295"/>
      <c r="H274" s="295"/>
      <c r="I274" s="295"/>
    </row>
    <row r="275" spans="2:9">
      <c r="B275" s="295"/>
      <c r="C275" s="295"/>
      <c r="D275" s="295"/>
      <c r="E275" s="295"/>
      <c r="F275" s="295"/>
      <c r="G275" s="295"/>
      <c r="H275" s="295"/>
      <c r="I275" s="295"/>
    </row>
    <row r="276" spans="2:9">
      <c r="B276" s="295"/>
      <c r="C276" s="295"/>
      <c r="D276" s="295"/>
      <c r="E276" s="295"/>
      <c r="F276" s="295"/>
      <c r="G276" s="295"/>
      <c r="H276" s="295"/>
      <c r="I276" s="295"/>
    </row>
    <row r="277" spans="2:9">
      <c r="B277" s="295"/>
      <c r="C277" s="295"/>
      <c r="D277" s="295"/>
      <c r="E277" s="295"/>
      <c r="F277" s="295"/>
      <c r="G277" s="295"/>
      <c r="H277" s="295"/>
      <c r="I277" s="295"/>
    </row>
    <row r="278" spans="2:9">
      <c r="B278" s="295"/>
      <c r="C278" s="295"/>
      <c r="D278" s="295"/>
      <c r="E278" s="295"/>
      <c r="F278" s="295"/>
      <c r="G278" s="295"/>
      <c r="H278" s="295"/>
      <c r="I278" s="295"/>
    </row>
    <row r="279" spans="2:9">
      <c r="B279" s="295"/>
      <c r="C279" s="295"/>
      <c r="D279" s="295"/>
      <c r="E279" s="295"/>
      <c r="F279" s="295"/>
      <c r="G279" s="295"/>
      <c r="H279" s="295"/>
      <c r="I279" s="295"/>
    </row>
    <row r="280" spans="2:9">
      <c r="B280" s="295"/>
      <c r="C280" s="295"/>
      <c r="D280" s="295"/>
      <c r="E280" s="295"/>
      <c r="F280" s="295"/>
      <c r="G280" s="295"/>
      <c r="H280" s="295"/>
      <c r="I280" s="295"/>
    </row>
    <row r="281" spans="2:9">
      <c r="B281" s="295"/>
      <c r="C281" s="295"/>
      <c r="D281" s="295"/>
      <c r="E281" s="295"/>
      <c r="F281" s="295"/>
      <c r="G281" s="295"/>
      <c r="H281" s="295"/>
      <c r="I281" s="295"/>
    </row>
    <row r="282" spans="2:9">
      <c r="B282" s="295"/>
      <c r="C282" s="295"/>
      <c r="D282" s="295"/>
      <c r="E282" s="295"/>
      <c r="F282" s="295"/>
      <c r="G282" s="295"/>
      <c r="H282" s="295"/>
      <c r="I282" s="295"/>
    </row>
    <row r="283" spans="2:9">
      <c r="B283" s="295"/>
      <c r="C283" s="295"/>
      <c r="D283" s="295"/>
      <c r="E283" s="295"/>
      <c r="F283" s="295"/>
      <c r="G283" s="295"/>
      <c r="H283" s="295"/>
      <c r="I283" s="295"/>
    </row>
    <row r="284" spans="2:9">
      <c r="B284" s="295"/>
      <c r="C284" s="295"/>
      <c r="D284" s="295"/>
      <c r="E284" s="295"/>
      <c r="F284" s="295"/>
      <c r="G284" s="295"/>
      <c r="H284" s="295"/>
      <c r="I284" s="295"/>
    </row>
    <row r="285" spans="2:9">
      <c r="B285" s="295"/>
      <c r="C285" s="295"/>
      <c r="D285" s="295"/>
      <c r="E285" s="295"/>
      <c r="F285" s="295"/>
      <c r="G285" s="295"/>
      <c r="H285" s="295"/>
      <c r="I285" s="295"/>
    </row>
    <row r="286" spans="2:9">
      <c r="B286" s="295"/>
      <c r="C286" s="295"/>
      <c r="D286" s="295"/>
      <c r="E286" s="295"/>
      <c r="F286" s="295"/>
      <c r="G286" s="295"/>
      <c r="H286" s="295"/>
      <c r="I286" s="295"/>
    </row>
    <row r="287" spans="2:9">
      <c r="B287" s="295"/>
      <c r="C287" s="295"/>
      <c r="D287" s="295"/>
      <c r="E287" s="295"/>
      <c r="F287" s="295"/>
      <c r="G287" s="295"/>
      <c r="H287" s="295"/>
      <c r="I287" s="295"/>
    </row>
    <row r="288" spans="2:9">
      <c r="B288" s="295"/>
      <c r="C288" s="295"/>
      <c r="D288" s="295"/>
      <c r="E288" s="295"/>
      <c r="F288" s="295"/>
      <c r="G288" s="295"/>
      <c r="H288" s="295"/>
      <c r="I288" s="295"/>
    </row>
    <row r="289" spans="2:9">
      <c r="B289" s="295"/>
      <c r="C289" s="295"/>
      <c r="D289" s="295"/>
      <c r="E289" s="295"/>
      <c r="F289" s="295"/>
      <c r="G289" s="295"/>
      <c r="H289" s="295"/>
      <c r="I289" s="295"/>
    </row>
    <row r="290" spans="2:9">
      <c r="B290" s="295"/>
      <c r="C290" s="295"/>
      <c r="D290" s="295"/>
      <c r="E290" s="295"/>
      <c r="F290" s="295"/>
      <c r="G290" s="295"/>
      <c r="H290" s="295"/>
      <c r="I290" s="295"/>
    </row>
    <row r="291" spans="2:9">
      <c r="B291" s="295"/>
      <c r="C291" s="295"/>
      <c r="D291" s="295"/>
      <c r="E291" s="295"/>
      <c r="F291" s="295"/>
      <c r="G291" s="295"/>
      <c r="H291" s="295"/>
      <c r="I291" s="295"/>
    </row>
    <row r="292" spans="2:9">
      <c r="B292" s="295"/>
      <c r="C292" s="295"/>
      <c r="D292" s="295"/>
      <c r="E292" s="295"/>
      <c r="F292" s="295"/>
      <c r="G292" s="295"/>
      <c r="H292" s="295"/>
      <c r="I292" s="295"/>
    </row>
    <row r="293" spans="2:9">
      <c r="B293" s="295"/>
      <c r="C293" s="295"/>
      <c r="D293" s="295"/>
      <c r="E293" s="295"/>
      <c r="F293" s="295"/>
      <c r="G293" s="295"/>
      <c r="H293" s="295"/>
      <c r="I293" s="295"/>
    </row>
    <row r="294" spans="2:9">
      <c r="B294" s="295"/>
      <c r="C294" s="295"/>
      <c r="D294" s="295"/>
      <c r="E294" s="295"/>
      <c r="F294" s="295"/>
      <c r="G294" s="295"/>
      <c r="H294" s="295"/>
      <c r="I294" s="295"/>
    </row>
    <row r="295" spans="2:9">
      <c r="B295" s="295"/>
      <c r="C295" s="295"/>
      <c r="D295" s="295"/>
      <c r="E295" s="295"/>
      <c r="F295" s="295"/>
      <c r="G295" s="295"/>
      <c r="H295" s="295"/>
      <c r="I295" s="295"/>
    </row>
    <row r="296" spans="2:9">
      <c r="B296" s="295"/>
      <c r="C296" s="295"/>
      <c r="D296" s="295"/>
      <c r="E296" s="295"/>
      <c r="F296" s="295"/>
      <c r="G296" s="295"/>
      <c r="H296" s="295"/>
      <c r="I296" s="295"/>
    </row>
    <row r="297" spans="2:9">
      <c r="B297" s="295"/>
      <c r="C297" s="295"/>
      <c r="D297" s="295"/>
      <c r="E297" s="295"/>
      <c r="F297" s="295"/>
      <c r="G297" s="295"/>
      <c r="H297" s="295"/>
      <c r="I297" s="295"/>
    </row>
    <row r="298" spans="2:9">
      <c r="B298" s="295"/>
      <c r="C298" s="295"/>
      <c r="D298" s="295"/>
      <c r="E298" s="295"/>
      <c r="F298" s="295"/>
      <c r="G298" s="295"/>
      <c r="H298" s="295"/>
      <c r="I298" s="295"/>
    </row>
    <row r="299" spans="2:9">
      <c r="B299" s="295"/>
      <c r="C299" s="295"/>
      <c r="D299" s="295"/>
      <c r="E299" s="295"/>
      <c r="F299" s="295"/>
      <c r="G299" s="295"/>
      <c r="H299" s="295"/>
      <c r="I299" s="295"/>
    </row>
    <row r="300" spans="2:9">
      <c r="B300" s="295"/>
      <c r="C300" s="295"/>
      <c r="D300" s="295"/>
      <c r="E300" s="295"/>
      <c r="F300" s="295"/>
      <c r="G300" s="295"/>
      <c r="H300" s="295"/>
      <c r="I300" s="295"/>
    </row>
    <row r="301" spans="2:9">
      <c r="B301" s="295"/>
      <c r="C301" s="295"/>
      <c r="D301" s="295"/>
      <c r="E301" s="295"/>
      <c r="F301" s="295"/>
      <c r="G301" s="295"/>
      <c r="H301" s="295"/>
      <c r="I301" s="295"/>
    </row>
    <row r="302" spans="2:9">
      <c r="B302" s="295"/>
      <c r="C302" s="295"/>
      <c r="D302" s="295"/>
      <c r="E302" s="295"/>
      <c r="F302" s="295"/>
      <c r="G302" s="295"/>
      <c r="H302" s="295"/>
      <c r="I302" s="295"/>
    </row>
    <row r="303" spans="2:9">
      <c r="B303" s="295"/>
      <c r="C303" s="295"/>
      <c r="D303" s="295"/>
      <c r="E303" s="295"/>
      <c r="F303" s="295"/>
      <c r="G303" s="295"/>
      <c r="H303" s="295"/>
      <c r="I303" s="295"/>
    </row>
    <row r="304" spans="2:9">
      <c r="B304" s="295"/>
      <c r="C304" s="295"/>
      <c r="D304" s="295"/>
      <c r="E304" s="295"/>
      <c r="F304" s="295"/>
      <c r="G304" s="295"/>
      <c r="H304" s="295"/>
      <c r="I304" s="295"/>
    </row>
    <row r="305" spans="2:9">
      <c r="B305" s="295"/>
      <c r="C305" s="295"/>
      <c r="D305" s="295"/>
      <c r="E305" s="295"/>
      <c r="F305" s="295"/>
      <c r="G305" s="295"/>
      <c r="H305" s="295"/>
      <c r="I305" s="295"/>
    </row>
    <row r="306" spans="2:9">
      <c r="B306" s="295"/>
      <c r="C306" s="295"/>
      <c r="D306" s="295"/>
      <c r="E306" s="295"/>
      <c r="F306" s="295"/>
      <c r="G306" s="295"/>
      <c r="H306" s="295"/>
      <c r="I306" s="295"/>
    </row>
    <row r="307" spans="2:9">
      <c r="B307" s="295"/>
      <c r="C307" s="295"/>
      <c r="D307" s="295"/>
      <c r="E307" s="295"/>
      <c r="F307" s="295"/>
      <c r="G307" s="295"/>
      <c r="H307" s="295"/>
      <c r="I307" s="295"/>
    </row>
    <row r="308" spans="2:9">
      <c r="B308" s="295"/>
      <c r="C308" s="295"/>
      <c r="D308" s="295"/>
      <c r="E308" s="295"/>
      <c r="F308" s="295"/>
      <c r="G308" s="295"/>
      <c r="H308" s="295"/>
      <c r="I308" s="295"/>
    </row>
    <row r="309" spans="2:9">
      <c r="B309" s="295"/>
      <c r="C309" s="295"/>
      <c r="D309" s="295"/>
      <c r="E309" s="295"/>
      <c r="F309" s="295"/>
      <c r="G309" s="295"/>
      <c r="H309" s="295"/>
      <c r="I309" s="295"/>
    </row>
    <row r="310" spans="2:9">
      <c r="B310" s="295"/>
      <c r="C310" s="295"/>
      <c r="D310" s="295"/>
      <c r="E310" s="295"/>
      <c r="F310" s="295"/>
      <c r="G310" s="295"/>
      <c r="H310" s="295"/>
      <c r="I310" s="295"/>
    </row>
    <row r="311" spans="2:9">
      <c r="B311" s="295"/>
      <c r="C311" s="295"/>
      <c r="D311" s="295"/>
      <c r="E311" s="295"/>
      <c r="F311" s="295"/>
      <c r="G311" s="295"/>
      <c r="H311" s="295"/>
      <c r="I311" s="295"/>
    </row>
    <row r="312" spans="2:9">
      <c r="B312" s="295"/>
      <c r="C312" s="295"/>
      <c r="D312" s="295"/>
      <c r="E312" s="295"/>
      <c r="F312" s="295"/>
      <c r="G312" s="295"/>
      <c r="H312" s="295"/>
      <c r="I312" s="295"/>
    </row>
    <row r="313" spans="2:9">
      <c r="B313" s="295"/>
      <c r="C313" s="295"/>
      <c r="D313" s="295"/>
      <c r="E313" s="295"/>
      <c r="F313" s="295"/>
      <c r="G313" s="295"/>
      <c r="H313" s="295"/>
      <c r="I313" s="295"/>
    </row>
    <row r="314" spans="2:9">
      <c r="B314" s="295"/>
      <c r="C314" s="295"/>
      <c r="D314" s="295"/>
      <c r="E314" s="295"/>
      <c r="F314" s="295"/>
      <c r="G314" s="295"/>
      <c r="H314" s="295"/>
      <c r="I314" s="295"/>
    </row>
    <row r="315" spans="2:9">
      <c r="B315" s="295"/>
      <c r="C315" s="295"/>
      <c r="D315" s="295"/>
      <c r="E315" s="295"/>
      <c r="F315" s="295"/>
      <c r="G315" s="295"/>
      <c r="H315" s="295"/>
      <c r="I315" s="295"/>
    </row>
    <row r="316" spans="2:9">
      <c r="B316" s="295"/>
      <c r="C316" s="295"/>
      <c r="D316" s="295"/>
      <c r="E316" s="295"/>
      <c r="F316" s="295"/>
      <c r="G316" s="295"/>
      <c r="H316" s="295"/>
      <c r="I316" s="295"/>
    </row>
    <row r="317" spans="2:9">
      <c r="B317" s="295"/>
      <c r="C317" s="295"/>
      <c r="D317" s="295"/>
      <c r="E317" s="295"/>
      <c r="F317" s="295"/>
      <c r="G317" s="295"/>
      <c r="H317" s="295"/>
      <c r="I317" s="295"/>
    </row>
    <row r="318" spans="2:9">
      <c r="B318" s="295"/>
      <c r="C318" s="295"/>
      <c r="D318" s="295"/>
      <c r="E318" s="295"/>
      <c r="F318" s="295"/>
      <c r="G318" s="295"/>
      <c r="H318" s="295"/>
      <c r="I318" s="295"/>
    </row>
    <row r="319" spans="2:9">
      <c r="B319" s="295"/>
      <c r="C319" s="295"/>
      <c r="D319" s="295"/>
      <c r="E319" s="295"/>
      <c r="F319" s="295"/>
      <c r="G319" s="295"/>
      <c r="H319" s="295"/>
      <c r="I319" s="295"/>
    </row>
    <row r="320" spans="2:9">
      <c r="B320" s="295"/>
      <c r="C320" s="295"/>
      <c r="D320" s="295"/>
      <c r="E320" s="295"/>
      <c r="F320" s="295"/>
      <c r="G320" s="295"/>
      <c r="H320" s="295"/>
      <c r="I320" s="295"/>
    </row>
    <row r="321" spans="2:9">
      <c r="B321" s="295"/>
      <c r="C321" s="295"/>
      <c r="D321" s="295"/>
      <c r="E321" s="295"/>
      <c r="F321" s="295"/>
      <c r="G321" s="295"/>
      <c r="H321" s="295"/>
      <c r="I321" s="295"/>
    </row>
    <row r="322" spans="2:9">
      <c r="B322" s="295"/>
      <c r="C322" s="295"/>
      <c r="D322" s="295"/>
      <c r="E322" s="295"/>
      <c r="F322" s="295"/>
      <c r="G322" s="295"/>
      <c r="H322" s="295"/>
      <c r="I322" s="295"/>
    </row>
    <row r="323" spans="2:9">
      <c r="B323" s="295"/>
      <c r="C323" s="295"/>
      <c r="D323" s="295"/>
      <c r="E323" s="295"/>
      <c r="F323" s="295"/>
      <c r="G323" s="295"/>
      <c r="H323" s="295"/>
      <c r="I323" s="295"/>
    </row>
    <row r="324" spans="2:9">
      <c r="B324" s="295"/>
      <c r="C324" s="295"/>
      <c r="D324" s="295"/>
      <c r="E324" s="295"/>
      <c r="F324" s="295"/>
      <c r="G324" s="295"/>
      <c r="H324" s="295"/>
      <c r="I324" s="295"/>
    </row>
    <row r="325" spans="2:9">
      <c r="B325" s="295"/>
      <c r="C325" s="295"/>
      <c r="D325" s="295"/>
      <c r="E325" s="295"/>
      <c r="F325" s="295"/>
      <c r="G325" s="295"/>
      <c r="H325" s="295"/>
      <c r="I325" s="295"/>
    </row>
    <row r="326" spans="2:9">
      <c r="B326" s="295"/>
      <c r="C326" s="295"/>
      <c r="D326" s="295"/>
      <c r="E326" s="295"/>
      <c r="F326" s="295"/>
      <c r="G326" s="295"/>
      <c r="H326" s="295"/>
      <c r="I326" s="295"/>
    </row>
    <row r="327" spans="2:9">
      <c r="B327" s="295"/>
      <c r="C327" s="295"/>
      <c r="D327" s="295"/>
      <c r="E327" s="295"/>
      <c r="F327" s="295"/>
      <c r="G327" s="295"/>
      <c r="H327" s="295"/>
      <c r="I327" s="295"/>
    </row>
    <row r="328" spans="2:9">
      <c r="B328" s="295"/>
      <c r="C328" s="295"/>
      <c r="D328" s="295"/>
      <c r="E328" s="295"/>
      <c r="F328" s="295"/>
      <c r="G328" s="295"/>
      <c r="H328" s="295"/>
      <c r="I328" s="295"/>
    </row>
    <row r="329" spans="2:9">
      <c r="B329" s="295"/>
      <c r="C329" s="295"/>
      <c r="D329" s="295"/>
      <c r="E329" s="295"/>
      <c r="F329" s="295"/>
      <c r="G329" s="295"/>
      <c r="H329" s="295"/>
      <c r="I329" s="295"/>
    </row>
    <row r="330" spans="2:9">
      <c r="B330" s="295"/>
      <c r="C330" s="295"/>
      <c r="D330" s="295"/>
      <c r="E330" s="295"/>
      <c r="F330" s="295"/>
      <c r="G330" s="295"/>
      <c r="H330" s="295"/>
      <c r="I330" s="295"/>
    </row>
    <row r="331" spans="2:9">
      <c r="B331" s="295"/>
      <c r="C331" s="295"/>
      <c r="D331" s="295"/>
      <c r="E331" s="295"/>
      <c r="F331" s="295"/>
      <c r="G331" s="295"/>
      <c r="H331" s="295"/>
      <c r="I331" s="295"/>
    </row>
    <row r="332" spans="2:9">
      <c r="B332" s="295"/>
      <c r="C332" s="295"/>
      <c r="D332" s="295"/>
      <c r="E332" s="295"/>
      <c r="F332" s="295"/>
      <c r="G332" s="295"/>
      <c r="H332" s="295"/>
      <c r="I332" s="295"/>
    </row>
    <row r="333" spans="2:9">
      <c r="B333" s="295"/>
      <c r="C333" s="295"/>
      <c r="D333" s="295"/>
      <c r="E333" s="295"/>
      <c r="F333" s="295"/>
      <c r="G333" s="295"/>
      <c r="H333" s="295"/>
      <c r="I333" s="295"/>
    </row>
    <row r="334" spans="2:9">
      <c r="B334" s="295"/>
      <c r="C334" s="295"/>
      <c r="D334" s="295"/>
      <c r="E334" s="295"/>
      <c r="F334" s="295"/>
      <c r="G334" s="295"/>
      <c r="H334" s="295"/>
      <c r="I334" s="295"/>
    </row>
    <row r="335" spans="2:9">
      <c r="B335" s="295"/>
      <c r="C335" s="295"/>
      <c r="D335" s="295"/>
      <c r="E335" s="295"/>
      <c r="F335" s="295"/>
      <c r="G335" s="295"/>
      <c r="H335" s="295"/>
      <c r="I335" s="295"/>
    </row>
    <row r="336" spans="2:9">
      <c r="B336" s="295"/>
      <c r="C336" s="295"/>
      <c r="D336" s="295"/>
      <c r="E336" s="295"/>
      <c r="F336" s="295"/>
      <c r="G336" s="295"/>
      <c r="H336" s="295"/>
      <c r="I336" s="295"/>
    </row>
    <row r="337" spans="2:9">
      <c r="B337" s="295"/>
      <c r="C337" s="295"/>
      <c r="D337" s="295"/>
      <c r="E337" s="295"/>
      <c r="F337" s="295"/>
      <c r="G337" s="295"/>
      <c r="H337" s="295"/>
      <c r="I337" s="295"/>
    </row>
    <row r="338" spans="2:9">
      <c r="B338" s="295"/>
      <c r="C338" s="295"/>
      <c r="D338" s="295"/>
      <c r="E338" s="295"/>
      <c r="F338" s="295"/>
      <c r="G338" s="295"/>
      <c r="H338" s="295"/>
      <c r="I338" s="295"/>
    </row>
    <row r="339" spans="2:9">
      <c r="B339" s="295"/>
      <c r="C339" s="295"/>
      <c r="D339" s="295"/>
      <c r="E339" s="295"/>
      <c r="F339" s="295"/>
      <c r="G339" s="295"/>
      <c r="H339" s="295"/>
      <c r="I339" s="295"/>
    </row>
    <row r="340" spans="2:9">
      <c r="B340" s="295"/>
      <c r="C340" s="295"/>
      <c r="D340" s="295"/>
      <c r="E340" s="295"/>
      <c r="F340" s="295"/>
      <c r="G340" s="295"/>
      <c r="H340" s="295"/>
      <c r="I340" s="295"/>
    </row>
    <row r="341" spans="2:9">
      <c r="B341" s="295"/>
      <c r="C341" s="295"/>
      <c r="D341" s="295"/>
      <c r="E341" s="295"/>
      <c r="F341" s="295"/>
      <c r="G341" s="295"/>
      <c r="H341" s="295"/>
      <c r="I341" s="295"/>
    </row>
    <row r="342" spans="2:9">
      <c r="B342" s="295"/>
      <c r="C342" s="295"/>
      <c r="D342" s="295"/>
      <c r="E342" s="295"/>
      <c r="F342" s="295"/>
      <c r="G342" s="295"/>
      <c r="H342" s="295"/>
      <c r="I342" s="295"/>
    </row>
    <row r="343" spans="2:9">
      <c r="B343" s="295"/>
      <c r="C343" s="295"/>
      <c r="D343" s="295"/>
      <c r="E343" s="295"/>
      <c r="F343" s="295"/>
      <c r="G343" s="295"/>
      <c r="H343" s="295"/>
      <c r="I343" s="295"/>
    </row>
    <row r="344" spans="2:9">
      <c r="B344" s="295"/>
      <c r="C344" s="295"/>
      <c r="D344" s="295"/>
      <c r="E344" s="295"/>
      <c r="F344" s="295"/>
      <c r="G344" s="295"/>
      <c r="H344" s="295"/>
      <c r="I344" s="295"/>
    </row>
    <row r="345" spans="2:9">
      <c r="B345" s="295"/>
      <c r="C345" s="295"/>
      <c r="D345" s="295"/>
      <c r="E345" s="295"/>
      <c r="F345" s="295"/>
      <c r="G345" s="295"/>
      <c r="H345" s="295"/>
      <c r="I345" s="295"/>
    </row>
    <row r="346" spans="2:9">
      <c r="B346" s="295"/>
      <c r="C346" s="295"/>
      <c r="D346" s="295"/>
      <c r="E346" s="295"/>
      <c r="F346" s="295"/>
      <c r="G346" s="295"/>
      <c r="H346" s="295"/>
      <c r="I346" s="295"/>
    </row>
    <row r="347" spans="2:9">
      <c r="B347" s="295"/>
      <c r="C347" s="295"/>
      <c r="D347" s="295"/>
      <c r="E347" s="295"/>
      <c r="F347" s="295"/>
      <c r="G347" s="295"/>
      <c r="H347" s="295"/>
      <c r="I347" s="295"/>
    </row>
    <row r="348" spans="2:9">
      <c r="B348" s="295"/>
      <c r="C348" s="295"/>
      <c r="D348" s="295"/>
      <c r="E348" s="295"/>
      <c r="F348" s="295"/>
      <c r="G348" s="295"/>
      <c r="H348" s="295"/>
      <c r="I348" s="295"/>
    </row>
    <row r="349" spans="2:9">
      <c r="B349" s="295"/>
      <c r="C349" s="295"/>
      <c r="D349" s="295"/>
      <c r="E349" s="295"/>
      <c r="F349" s="295"/>
      <c r="G349" s="295"/>
      <c r="H349" s="295"/>
      <c r="I349" s="295"/>
    </row>
    <row r="350" spans="2:9">
      <c r="B350" s="295"/>
      <c r="C350" s="295"/>
      <c r="D350" s="295"/>
      <c r="E350" s="295"/>
      <c r="F350" s="295"/>
      <c r="G350" s="295"/>
      <c r="H350" s="295"/>
      <c r="I350" s="295"/>
    </row>
    <row r="351" spans="2:9">
      <c r="B351" s="295"/>
      <c r="C351" s="295"/>
      <c r="D351" s="295"/>
      <c r="E351" s="295"/>
      <c r="F351" s="295"/>
      <c r="G351" s="295"/>
      <c r="H351" s="295"/>
      <c r="I351" s="295"/>
    </row>
    <row r="352" spans="2:9">
      <c r="B352" s="295"/>
      <c r="C352" s="295"/>
      <c r="D352" s="295"/>
      <c r="E352" s="295"/>
      <c r="F352" s="295"/>
      <c r="G352" s="295"/>
      <c r="H352" s="295"/>
      <c r="I352" s="295"/>
    </row>
    <row r="353" spans="2:9">
      <c r="B353" s="295"/>
      <c r="C353" s="295"/>
      <c r="D353" s="295"/>
      <c r="E353" s="295"/>
      <c r="F353" s="295"/>
      <c r="G353" s="295"/>
      <c r="H353" s="295"/>
      <c r="I353" s="295"/>
    </row>
    <row r="354" spans="2:9">
      <c r="B354" s="295"/>
      <c r="C354" s="295"/>
      <c r="D354" s="295"/>
      <c r="E354" s="295"/>
      <c r="F354" s="295"/>
      <c r="G354" s="295"/>
      <c r="H354" s="295"/>
      <c r="I354" s="295"/>
    </row>
    <row r="355" spans="2:9">
      <c r="B355" s="295"/>
      <c r="C355" s="295"/>
      <c r="D355" s="295"/>
      <c r="E355" s="295"/>
      <c r="F355" s="295"/>
      <c r="G355" s="295"/>
      <c r="H355" s="295"/>
      <c r="I355" s="295"/>
    </row>
    <row r="356" spans="2:9">
      <c r="B356" s="295"/>
      <c r="C356" s="295"/>
      <c r="D356" s="295"/>
      <c r="E356" s="295"/>
      <c r="F356" s="295"/>
      <c r="G356" s="295"/>
      <c r="H356" s="295"/>
      <c r="I356" s="295"/>
    </row>
    <row r="357" spans="2:9">
      <c r="B357" s="295"/>
      <c r="C357" s="295"/>
      <c r="D357" s="295"/>
      <c r="E357" s="295"/>
      <c r="F357" s="295"/>
      <c r="G357" s="295"/>
      <c r="H357" s="295"/>
      <c r="I357" s="295"/>
    </row>
    <row r="358" spans="2:9">
      <c r="B358" s="295"/>
      <c r="C358" s="295"/>
      <c r="D358" s="295"/>
      <c r="E358" s="295"/>
      <c r="F358" s="295"/>
      <c r="G358" s="295"/>
      <c r="H358" s="295"/>
      <c r="I358" s="295"/>
    </row>
    <row r="359" spans="2:9">
      <c r="B359" s="295"/>
      <c r="C359" s="295"/>
      <c r="D359" s="295"/>
      <c r="E359" s="295"/>
      <c r="F359" s="295"/>
      <c r="G359" s="295"/>
      <c r="H359" s="295"/>
      <c r="I359" s="295"/>
    </row>
    <row r="360" spans="2:9">
      <c r="B360" s="295"/>
      <c r="C360" s="295"/>
      <c r="D360" s="295"/>
      <c r="E360" s="295"/>
      <c r="F360" s="295"/>
      <c r="G360" s="295"/>
      <c r="H360" s="295"/>
      <c r="I360" s="295"/>
    </row>
    <row r="361" spans="2:9">
      <c r="B361" s="295"/>
      <c r="C361" s="295"/>
      <c r="D361" s="295"/>
      <c r="E361" s="295"/>
      <c r="F361" s="295"/>
      <c r="G361" s="295"/>
      <c r="H361" s="295"/>
      <c r="I361" s="295"/>
    </row>
    <row r="362" spans="2:9">
      <c r="B362" s="295"/>
      <c r="C362" s="295"/>
      <c r="D362" s="295"/>
      <c r="E362" s="295"/>
      <c r="F362" s="295"/>
      <c r="G362" s="295"/>
      <c r="H362" s="295"/>
      <c r="I362" s="295"/>
    </row>
    <row r="363" spans="2:9">
      <c r="B363" s="295"/>
      <c r="C363" s="295"/>
      <c r="D363" s="295"/>
      <c r="E363" s="295"/>
      <c r="F363" s="295"/>
      <c r="G363" s="295"/>
      <c r="H363" s="295"/>
      <c r="I363" s="295"/>
    </row>
    <row r="364" spans="2:9">
      <c r="B364" s="295"/>
      <c r="C364" s="295"/>
      <c r="D364" s="295"/>
      <c r="E364" s="295"/>
      <c r="F364" s="295"/>
      <c r="G364" s="295"/>
      <c r="H364" s="295"/>
      <c r="I364" s="295"/>
    </row>
    <row r="365" spans="2:9">
      <c r="B365" s="295"/>
      <c r="C365" s="295"/>
      <c r="D365" s="295"/>
      <c r="E365" s="295"/>
      <c r="F365" s="295"/>
      <c r="G365" s="295"/>
      <c r="H365" s="295"/>
      <c r="I365" s="295"/>
    </row>
    <row r="366" spans="2:9">
      <c r="B366" s="295"/>
      <c r="C366" s="295"/>
      <c r="D366" s="295"/>
      <c r="E366" s="295"/>
      <c r="F366" s="295"/>
      <c r="G366" s="295"/>
      <c r="H366" s="295"/>
      <c r="I366" s="295"/>
    </row>
    <row r="367" spans="2:9">
      <c r="B367" s="295"/>
      <c r="C367" s="295"/>
      <c r="D367" s="295"/>
      <c r="E367" s="295"/>
      <c r="F367" s="295"/>
      <c r="G367" s="295"/>
      <c r="H367" s="295"/>
      <c r="I367" s="295"/>
    </row>
    <row r="368" spans="2:9">
      <c r="B368" s="295"/>
      <c r="C368" s="295"/>
      <c r="D368" s="295"/>
      <c r="E368" s="295"/>
      <c r="F368" s="295"/>
      <c r="G368" s="295"/>
      <c r="H368" s="295"/>
      <c r="I368" s="295"/>
    </row>
    <row r="369" spans="2:9">
      <c r="B369" s="295"/>
      <c r="C369" s="295"/>
      <c r="D369" s="295"/>
      <c r="E369" s="295"/>
      <c r="F369" s="295"/>
      <c r="G369" s="295"/>
      <c r="H369" s="295"/>
      <c r="I369" s="295"/>
    </row>
    <row r="370" spans="2:9">
      <c r="B370" s="295"/>
      <c r="C370" s="295"/>
      <c r="D370" s="295"/>
      <c r="E370" s="295"/>
      <c r="F370" s="295"/>
      <c r="G370" s="295"/>
      <c r="H370" s="295"/>
      <c r="I370" s="295"/>
    </row>
    <row r="371" spans="2:9">
      <c r="B371" s="295"/>
      <c r="C371" s="295"/>
      <c r="D371" s="295"/>
      <c r="E371" s="295"/>
      <c r="F371" s="295"/>
      <c r="G371" s="295"/>
      <c r="H371" s="295"/>
      <c r="I371" s="295"/>
    </row>
    <row r="372" spans="2:9">
      <c r="B372" s="295"/>
      <c r="C372" s="295"/>
      <c r="D372" s="295"/>
      <c r="E372" s="295"/>
      <c r="F372" s="295"/>
      <c r="G372" s="295"/>
      <c r="H372" s="295"/>
      <c r="I372" s="295"/>
    </row>
    <row r="373" spans="2:9">
      <c r="B373" s="295"/>
      <c r="C373" s="295"/>
      <c r="D373" s="295"/>
      <c r="E373" s="295"/>
      <c r="F373" s="295"/>
      <c r="G373" s="295"/>
      <c r="H373" s="295"/>
      <c r="I373" s="295"/>
    </row>
    <row r="374" spans="2:9">
      <c r="B374" s="295"/>
      <c r="C374" s="295"/>
      <c r="D374" s="295"/>
      <c r="E374" s="295"/>
      <c r="F374" s="295"/>
      <c r="G374" s="295"/>
      <c r="H374" s="295"/>
      <c r="I374" s="295"/>
    </row>
    <row r="375" spans="2:9">
      <c r="B375" s="295"/>
      <c r="C375" s="295"/>
      <c r="D375" s="295"/>
      <c r="E375" s="295"/>
      <c r="F375" s="295"/>
      <c r="G375" s="295"/>
      <c r="H375" s="295"/>
      <c r="I375" s="295"/>
    </row>
    <row r="376" spans="2:9">
      <c r="B376" s="295"/>
      <c r="C376" s="295"/>
      <c r="D376" s="295"/>
      <c r="E376" s="295"/>
      <c r="F376" s="295"/>
      <c r="G376" s="295"/>
      <c r="H376" s="295"/>
      <c r="I376" s="295"/>
    </row>
    <row r="377" spans="2:9">
      <c r="B377" s="295"/>
      <c r="C377" s="295"/>
      <c r="D377" s="295"/>
      <c r="E377" s="295"/>
      <c r="F377" s="295"/>
      <c r="G377" s="295"/>
      <c r="H377" s="295"/>
      <c r="I377" s="295"/>
    </row>
    <row r="378" spans="2:9">
      <c r="B378" s="295"/>
      <c r="C378" s="295"/>
      <c r="D378" s="295"/>
      <c r="E378" s="295"/>
      <c r="F378" s="295"/>
      <c r="G378" s="295"/>
      <c r="H378" s="295"/>
      <c r="I378" s="295"/>
    </row>
    <row r="379" spans="2:9">
      <c r="B379" s="295"/>
      <c r="C379" s="295"/>
      <c r="D379" s="295"/>
      <c r="E379" s="295"/>
      <c r="F379" s="295"/>
      <c r="G379" s="295"/>
      <c r="H379" s="295"/>
      <c r="I379" s="295"/>
    </row>
    <row r="380" spans="2:9">
      <c r="B380" s="295"/>
      <c r="C380" s="295"/>
      <c r="D380" s="295"/>
      <c r="E380" s="295"/>
      <c r="F380" s="295"/>
      <c r="G380" s="295"/>
      <c r="H380" s="295"/>
      <c r="I380" s="295"/>
    </row>
    <row r="381" spans="2:9">
      <c r="B381" s="295"/>
      <c r="C381" s="295"/>
      <c r="D381" s="295"/>
      <c r="E381" s="295"/>
      <c r="F381" s="295"/>
      <c r="G381" s="295"/>
      <c r="H381" s="295"/>
      <c r="I381" s="295"/>
    </row>
    <row r="382" spans="2:9">
      <c r="B382" s="295"/>
      <c r="C382" s="295"/>
      <c r="D382" s="295"/>
      <c r="E382" s="295"/>
      <c r="F382" s="295"/>
      <c r="G382" s="295"/>
      <c r="H382" s="295"/>
      <c r="I382" s="295"/>
    </row>
    <row r="383" spans="2:9">
      <c r="B383" s="295"/>
      <c r="C383" s="295"/>
      <c r="D383" s="295"/>
      <c r="E383" s="295"/>
      <c r="F383" s="295"/>
      <c r="G383" s="295"/>
      <c r="H383" s="295"/>
      <c r="I383" s="295"/>
    </row>
    <row r="384" spans="2:9">
      <c r="B384" s="295"/>
      <c r="C384" s="295"/>
      <c r="D384" s="295"/>
      <c r="E384" s="295"/>
      <c r="F384" s="295"/>
      <c r="G384" s="295"/>
      <c r="H384" s="295"/>
      <c r="I384" s="295"/>
    </row>
    <row r="385" spans="2:9">
      <c r="B385" s="295"/>
      <c r="C385" s="295"/>
      <c r="D385" s="295"/>
      <c r="E385" s="295"/>
      <c r="F385" s="295"/>
      <c r="G385" s="295"/>
      <c r="H385" s="295"/>
      <c r="I385" s="295"/>
    </row>
    <row r="386" spans="2:9">
      <c r="B386" s="295"/>
      <c r="C386" s="295"/>
      <c r="D386" s="295"/>
      <c r="E386" s="295"/>
      <c r="F386" s="295"/>
      <c r="G386" s="295"/>
      <c r="H386" s="295"/>
      <c r="I386" s="295"/>
    </row>
    <row r="387" spans="2:9">
      <c r="B387" s="295"/>
      <c r="C387" s="295"/>
      <c r="D387" s="295"/>
      <c r="E387" s="295"/>
      <c r="F387" s="295"/>
      <c r="G387" s="295"/>
      <c r="H387" s="295"/>
      <c r="I387" s="295"/>
    </row>
    <row r="388" spans="2:9">
      <c r="B388" s="295"/>
      <c r="C388" s="295"/>
      <c r="D388" s="295"/>
      <c r="E388" s="295"/>
      <c r="F388" s="295"/>
      <c r="G388" s="295"/>
      <c r="H388" s="295"/>
      <c r="I388" s="295"/>
    </row>
    <row r="389" spans="2:9">
      <c r="B389" s="295"/>
      <c r="C389" s="295"/>
      <c r="D389" s="295"/>
      <c r="E389" s="295"/>
      <c r="F389" s="295"/>
      <c r="G389" s="295"/>
      <c r="H389" s="295"/>
      <c r="I389" s="295"/>
    </row>
    <row r="390" spans="2:9">
      <c r="B390" s="295"/>
      <c r="C390" s="295"/>
      <c r="D390" s="295"/>
      <c r="E390" s="295"/>
      <c r="F390" s="295"/>
      <c r="G390" s="295"/>
      <c r="H390" s="295"/>
      <c r="I390" s="295"/>
    </row>
    <row r="391" spans="2:9">
      <c r="B391" s="295"/>
      <c r="C391" s="295"/>
      <c r="D391" s="295"/>
      <c r="E391" s="295"/>
      <c r="F391" s="295"/>
      <c r="G391" s="295"/>
      <c r="H391" s="295"/>
      <c r="I391" s="295"/>
    </row>
    <row r="392" spans="2:9">
      <c r="B392" s="295"/>
      <c r="C392" s="295"/>
      <c r="D392" s="295"/>
      <c r="E392" s="295"/>
      <c r="F392" s="295"/>
      <c r="G392" s="295"/>
      <c r="H392" s="295"/>
      <c r="I392" s="295"/>
    </row>
    <row r="393" spans="2:9">
      <c r="B393" s="295"/>
      <c r="C393" s="295"/>
      <c r="D393" s="295"/>
      <c r="E393" s="295"/>
      <c r="F393" s="295"/>
      <c r="G393" s="295"/>
      <c r="H393" s="295"/>
      <c r="I393" s="295"/>
    </row>
    <row r="394" spans="2:9">
      <c r="B394" s="295"/>
      <c r="C394" s="295"/>
      <c r="D394" s="295"/>
      <c r="E394" s="295"/>
      <c r="F394" s="295"/>
      <c r="G394" s="295"/>
      <c r="H394" s="295"/>
      <c r="I394" s="295"/>
    </row>
    <row r="395" spans="2:9">
      <c r="B395" s="295"/>
      <c r="C395" s="295"/>
      <c r="D395" s="295"/>
      <c r="E395" s="295"/>
      <c r="F395" s="295"/>
      <c r="G395" s="295"/>
      <c r="H395" s="295"/>
      <c r="I395" s="295"/>
    </row>
    <row r="396" spans="2:9">
      <c r="B396" s="295"/>
      <c r="C396" s="295"/>
      <c r="D396" s="295"/>
      <c r="E396" s="295"/>
      <c r="F396" s="295"/>
      <c r="G396" s="295"/>
      <c r="H396" s="295"/>
      <c r="I396" s="295"/>
    </row>
    <row r="397" spans="2:9">
      <c r="B397" s="295"/>
      <c r="C397" s="295"/>
      <c r="D397" s="295"/>
      <c r="E397" s="295"/>
      <c r="F397" s="295"/>
      <c r="G397" s="295"/>
      <c r="H397" s="295"/>
      <c r="I397" s="295"/>
    </row>
    <row r="398" spans="2:9">
      <c r="B398" s="295"/>
      <c r="C398" s="295"/>
      <c r="D398" s="295"/>
      <c r="E398" s="295"/>
      <c r="F398" s="295"/>
      <c r="G398" s="295"/>
      <c r="H398" s="295"/>
      <c r="I398" s="295"/>
    </row>
    <row r="399" spans="2:9">
      <c r="B399" s="295"/>
      <c r="C399" s="295"/>
      <c r="D399" s="295"/>
      <c r="E399" s="295"/>
      <c r="F399" s="295"/>
      <c r="G399" s="295"/>
      <c r="H399" s="295"/>
      <c r="I399" s="295"/>
    </row>
    <row r="400" spans="2:9">
      <c r="B400" s="295"/>
      <c r="C400" s="295"/>
      <c r="D400" s="295"/>
      <c r="E400" s="295"/>
      <c r="F400" s="295"/>
      <c r="G400" s="295"/>
      <c r="H400" s="295"/>
      <c r="I400" s="295"/>
    </row>
    <row r="401" spans="2:9">
      <c r="B401" s="295"/>
      <c r="C401" s="295"/>
      <c r="D401" s="295"/>
      <c r="E401" s="295"/>
      <c r="F401" s="295"/>
      <c r="G401" s="295"/>
      <c r="H401" s="295"/>
      <c r="I401" s="295"/>
    </row>
    <row r="402" spans="2:9">
      <c r="B402" s="295"/>
      <c r="C402" s="295"/>
      <c r="D402" s="295"/>
      <c r="E402" s="295"/>
      <c r="F402" s="295"/>
      <c r="G402" s="295"/>
      <c r="H402" s="295"/>
      <c r="I402" s="295"/>
    </row>
    <row r="403" spans="2:9">
      <c r="B403" s="295"/>
      <c r="C403" s="295"/>
      <c r="D403" s="295"/>
      <c r="E403" s="295"/>
      <c r="F403" s="295"/>
      <c r="G403" s="295"/>
      <c r="H403" s="295"/>
      <c r="I403" s="295"/>
    </row>
    <row r="404" spans="2:9">
      <c r="B404" s="295"/>
      <c r="C404" s="295"/>
      <c r="D404" s="295"/>
      <c r="E404" s="295"/>
      <c r="F404" s="295"/>
      <c r="G404" s="295"/>
      <c r="H404" s="295"/>
      <c r="I404" s="295"/>
    </row>
    <row r="405" spans="2:9">
      <c r="B405" s="295"/>
      <c r="C405" s="295"/>
      <c r="D405" s="295"/>
      <c r="E405" s="295"/>
      <c r="F405" s="295"/>
      <c r="G405" s="295"/>
      <c r="H405" s="295"/>
      <c r="I405" s="295"/>
    </row>
    <row r="406" spans="2:9">
      <c r="B406" s="295"/>
      <c r="C406" s="295"/>
      <c r="D406" s="295"/>
      <c r="E406" s="295"/>
      <c r="F406" s="295"/>
      <c r="G406" s="295"/>
      <c r="H406" s="295"/>
      <c r="I406" s="295"/>
    </row>
    <row r="407" spans="2:9">
      <c r="B407" s="295"/>
      <c r="C407" s="295"/>
      <c r="D407" s="295"/>
      <c r="E407" s="295"/>
      <c r="F407" s="295"/>
      <c r="G407" s="295"/>
      <c r="H407" s="295"/>
      <c r="I407" s="295"/>
    </row>
    <row r="408" spans="2:9">
      <c r="B408" s="295"/>
      <c r="C408" s="295"/>
      <c r="D408" s="295"/>
      <c r="E408" s="295"/>
      <c r="F408" s="295"/>
      <c r="G408" s="295"/>
      <c r="H408" s="295"/>
      <c r="I408" s="295"/>
    </row>
    <row r="409" spans="2:9">
      <c r="B409" s="295"/>
      <c r="C409" s="295"/>
      <c r="D409" s="295"/>
      <c r="E409" s="295"/>
      <c r="F409" s="295"/>
      <c r="G409" s="295"/>
      <c r="H409" s="295"/>
      <c r="I409" s="295"/>
    </row>
  </sheetData>
  <pageMargins left="0.7" right="0.7" top="1.1145833333333333" bottom="0.75" header="0.3" footer="0.3"/>
  <pageSetup paperSize="119" scale="37" fitToHeight="0" orientation="landscape" r:id="rId1"/>
  <headerFooter>
    <oddHeader xml:space="preserve">&amp;R&amp;"Times New Roman,Bold"PUCO Case No. 24-503-EL-FOR
Source Files
Work Tables
Page &amp;P of &amp;N
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V205"/>
  <sheetViews>
    <sheetView view="pageLayout" zoomScaleNormal="100" workbookViewId="0">
      <selection activeCell="J10" sqref="J10"/>
    </sheetView>
  </sheetViews>
  <sheetFormatPr defaultRowHeight="12.75"/>
  <cols>
    <col min="1" max="1" width="10.5703125" bestFit="1" customWidth="1"/>
    <col min="2" max="2" width="13.7109375" bestFit="1" customWidth="1"/>
    <col min="5" max="5" width="19.28515625" bestFit="1" customWidth="1"/>
    <col min="6" max="6" width="9.7109375" bestFit="1" customWidth="1"/>
    <col min="7" max="7" width="11.7109375" bestFit="1" customWidth="1"/>
    <col min="8" max="8" width="16.7109375" bestFit="1" customWidth="1"/>
    <col min="10" max="10" width="55.28515625" bestFit="1" customWidth="1"/>
    <col min="12" max="13" width="8.85546875" bestFit="1" customWidth="1"/>
    <col min="14" max="14" width="9.85546875" bestFit="1" customWidth="1"/>
    <col min="17" max="17" width="10.85546875" bestFit="1" customWidth="1"/>
  </cols>
  <sheetData>
    <row r="1" spans="1:22" ht="15">
      <c r="A1" s="249"/>
      <c r="B1" s="249" t="s">
        <v>182</v>
      </c>
      <c r="C1" s="249"/>
      <c r="D1" s="249"/>
      <c r="E1" s="250" t="s">
        <v>150</v>
      </c>
      <c r="F1" s="250" t="s">
        <v>149</v>
      </c>
      <c r="G1" s="250" t="s">
        <v>151</v>
      </c>
      <c r="H1" s="250" t="s">
        <v>152</v>
      </c>
      <c r="I1" s="249"/>
      <c r="J1" s="249"/>
      <c r="K1" s="265" t="s">
        <v>211</v>
      </c>
      <c r="L1" s="249" t="s">
        <v>176</v>
      </c>
      <c r="M1" s="249" t="s">
        <v>177</v>
      </c>
    </row>
    <row r="2" spans="1:22" ht="15">
      <c r="A2" s="245">
        <v>42736</v>
      </c>
      <c r="B2" s="242">
        <v>61.67</v>
      </c>
      <c r="C2" s="246"/>
      <c r="D2" s="249">
        <v>2017</v>
      </c>
      <c r="E2" s="240">
        <v>4056669.3686569938</v>
      </c>
      <c r="F2" s="296">
        <v>7.9299999999999995E-2</v>
      </c>
      <c r="G2" s="239">
        <f ca="1">SUM(OFFSET($B$1,12*(D2-2017)+1,0,12,1))</f>
        <v>683.85100000000011</v>
      </c>
      <c r="H2" s="239">
        <f ca="1">E2*(1+F2)+G2</f>
        <v>4379047.1005914928</v>
      </c>
      <c r="I2" s="249"/>
      <c r="J2" s="249" t="s">
        <v>169</v>
      </c>
      <c r="K2" s="249">
        <v>2017</v>
      </c>
      <c r="L2" s="240">
        <v>3957490</v>
      </c>
      <c r="M2" s="240">
        <v>4010421</v>
      </c>
      <c r="N2" s="263"/>
    </row>
    <row r="3" spans="1:22" ht="15">
      <c r="A3" s="245">
        <v>42767</v>
      </c>
      <c r="B3" s="242">
        <v>56.658999999999999</v>
      </c>
      <c r="C3" s="246"/>
      <c r="D3" s="249">
        <v>2018</v>
      </c>
      <c r="E3" s="240">
        <v>4025584.0038512973</v>
      </c>
      <c r="F3" s="297">
        <f>$F$2</f>
        <v>7.9299999999999995E-2</v>
      </c>
      <c r="G3" s="239">
        <f t="shared" ref="G3:G12" ca="1" si="0">SUM(OFFSET($B$1,12*(D3-2017)+1,0,12,1))</f>
        <v>776.27099999999984</v>
      </c>
      <c r="H3" s="239">
        <f t="shared" ref="H3:H12" ca="1" si="1">E3*(1+F3)+G3</f>
        <v>4345589.0863567051</v>
      </c>
      <c r="I3" s="249"/>
      <c r="J3" s="249" t="s">
        <v>172</v>
      </c>
      <c r="K3" s="249">
        <v>2018</v>
      </c>
      <c r="L3" s="240">
        <v>4133807</v>
      </c>
      <c r="M3" s="240">
        <v>4003809</v>
      </c>
      <c r="N3" s="263"/>
    </row>
    <row r="4" spans="1:22" ht="15">
      <c r="A4" s="245">
        <v>42795</v>
      </c>
      <c r="B4" s="242">
        <v>51.965000000000003</v>
      </c>
      <c r="C4" s="246"/>
      <c r="D4" s="249">
        <v>2019</v>
      </c>
      <c r="E4" s="241">
        <v>3993619.429970271</v>
      </c>
      <c r="F4" s="297">
        <f t="shared" ref="F4:F19" si="2">$F$2</f>
        <v>7.9299999999999995E-2</v>
      </c>
      <c r="G4" s="239">
        <f t="shared" ca="1" si="0"/>
        <v>667.404</v>
      </c>
      <c r="H4" s="239">
        <f t="shared" ca="1" si="1"/>
        <v>4310980.8547669137</v>
      </c>
      <c r="I4" s="249"/>
      <c r="J4" s="249"/>
      <c r="K4" s="249">
        <v>2019</v>
      </c>
      <c r="L4" s="240">
        <v>4070995</v>
      </c>
      <c r="M4" s="240">
        <v>3993619</v>
      </c>
      <c r="N4" s="263"/>
    </row>
    <row r="5" spans="1:22" ht="15">
      <c r="A5" s="245">
        <v>42826</v>
      </c>
      <c r="B5" s="242">
        <v>49.814</v>
      </c>
      <c r="C5" s="246"/>
      <c r="D5" s="249">
        <v>2020</v>
      </c>
      <c r="E5" s="241">
        <f>M5</f>
        <v>3872526.906715007</v>
      </c>
      <c r="F5" s="297">
        <f t="shared" si="2"/>
        <v>7.9299999999999995E-2</v>
      </c>
      <c r="G5" s="239">
        <f t="shared" ca="1" si="0"/>
        <v>625.58800000000008</v>
      </c>
      <c r="H5" s="239">
        <f t="shared" ca="1" si="1"/>
        <v>4180243.8784175068</v>
      </c>
      <c r="I5" s="249"/>
      <c r="J5" s="249"/>
      <c r="K5" s="249">
        <v>2020</v>
      </c>
      <c r="L5" s="240">
        <v>3850450.667799152</v>
      </c>
      <c r="M5" s="240">
        <v>3872526.906715007</v>
      </c>
      <c r="N5" s="263"/>
    </row>
    <row r="6" spans="1:22" ht="15">
      <c r="A6" s="245">
        <v>42856</v>
      </c>
      <c r="B6" s="242">
        <v>49.61</v>
      </c>
      <c r="C6" s="246"/>
      <c r="D6" s="249">
        <v>2021</v>
      </c>
      <c r="E6" s="241">
        <f>M6</f>
        <v>3930103.1356959268</v>
      </c>
      <c r="F6" s="297">
        <f t="shared" si="2"/>
        <v>7.9299999999999995E-2</v>
      </c>
      <c r="G6" s="239">
        <f t="shared" ca="1" si="0"/>
        <v>804.17200000000003</v>
      </c>
      <c r="H6" s="239">
        <f t="shared" ca="1" si="1"/>
        <v>4242564.4863566142</v>
      </c>
      <c r="I6" s="249"/>
      <c r="J6" s="249"/>
      <c r="K6" s="249">
        <v>2021</v>
      </c>
      <c r="L6" s="240">
        <v>3946009.8798146402</v>
      </c>
      <c r="M6" s="240">
        <v>3930103.1356959268</v>
      </c>
      <c r="N6" s="263"/>
    </row>
    <row r="7" spans="1:22" ht="15">
      <c r="A7" s="245">
        <v>42887</v>
      </c>
      <c r="B7" s="242">
        <v>44.384</v>
      </c>
      <c r="C7" s="246"/>
      <c r="D7" s="249">
        <v>2022</v>
      </c>
      <c r="E7" s="241">
        <f>M7</f>
        <v>3948613.4351725872</v>
      </c>
      <c r="F7" s="297">
        <f t="shared" si="2"/>
        <v>7.9299999999999995E-2</v>
      </c>
      <c r="G7" s="239">
        <f t="shared" ca="1" si="0"/>
        <v>543.02299999999991</v>
      </c>
      <c r="H7" s="239">
        <f t="shared" ca="1" si="1"/>
        <v>4262281.5035817735</v>
      </c>
      <c r="I7" s="249"/>
      <c r="J7" s="249"/>
      <c r="K7" s="249">
        <v>2022</v>
      </c>
      <c r="M7" s="240">
        <v>3948613.4351725872</v>
      </c>
      <c r="P7" s="265" t="s">
        <v>178</v>
      </c>
      <c r="Q7" s="249"/>
      <c r="R7" s="249"/>
      <c r="S7" s="249"/>
    </row>
    <row r="8" spans="1:22" ht="15">
      <c r="A8" s="245">
        <v>42917</v>
      </c>
      <c r="B8" s="242">
        <v>65.736000000000004</v>
      </c>
      <c r="C8" s="246"/>
      <c r="D8" s="249">
        <v>2023</v>
      </c>
      <c r="E8" s="241">
        <f>M8</f>
        <v>3941104.7176240114</v>
      </c>
      <c r="F8" s="297">
        <f t="shared" si="2"/>
        <v>7.9299999999999995E-2</v>
      </c>
      <c r="G8" s="239">
        <f t="shared" ca="1" si="0"/>
        <v>705.755</v>
      </c>
      <c r="H8" s="239">
        <f t="shared" ca="1" si="1"/>
        <v>4254340.0767315952</v>
      </c>
      <c r="I8" s="249"/>
      <c r="J8" s="249"/>
      <c r="M8">
        <v>3941104.7176240114</v>
      </c>
      <c r="P8" s="249" t="s">
        <v>181</v>
      </c>
      <c r="Q8" s="249"/>
      <c r="R8" s="249"/>
      <c r="S8" s="249"/>
    </row>
    <row r="9" spans="1:22" ht="15">
      <c r="A9" s="245">
        <v>42948</v>
      </c>
      <c r="B9" s="242">
        <v>69.881</v>
      </c>
      <c r="C9" s="246"/>
      <c r="D9" s="249">
        <v>2024</v>
      </c>
      <c r="E9" s="247">
        <v>3972781.6739633428</v>
      </c>
      <c r="F9" s="297">
        <f t="shared" si="2"/>
        <v>7.9299999999999995E-2</v>
      </c>
      <c r="G9" s="239">
        <f t="shared" ca="1" si="0"/>
        <v>680.6659999999996</v>
      </c>
      <c r="H9" s="239">
        <f t="shared" ca="1" si="1"/>
        <v>4288503.9267086359</v>
      </c>
      <c r="I9" s="249"/>
      <c r="J9" s="249"/>
      <c r="P9" s="249"/>
      <c r="Q9" s="249" t="s">
        <v>180</v>
      </c>
      <c r="R9" s="249" t="s">
        <v>179</v>
      </c>
      <c r="S9" s="249"/>
      <c r="U9" t="s">
        <v>209</v>
      </c>
    </row>
    <row r="10" spans="1:22" ht="15">
      <c r="A10" s="245">
        <v>42979</v>
      </c>
      <c r="B10" s="242">
        <v>68.159000000000006</v>
      </c>
      <c r="C10" s="246"/>
      <c r="D10" s="249">
        <v>2025</v>
      </c>
      <c r="E10" s="247">
        <v>3968604.6877852152</v>
      </c>
      <c r="F10" s="297">
        <f t="shared" si="2"/>
        <v>7.9299999999999995E-2</v>
      </c>
      <c r="G10" s="239">
        <f t="shared" ca="1" si="0"/>
        <v>680.66599999999971</v>
      </c>
      <c r="H10" s="239">
        <f t="shared" ca="1" si="1"/>
        <v>4283995.7055265829</v>
      </c>
      <c r="I10" s="249"/>
      <c r="J10" s="249"/>
      <c r="P10" s="249">
        <v>2013</v>
      </c>
      <c r="Q10" s="287"/>
      <c r="R10" s="240"/>
      <c r="S10" s="249"/>
    </row>
    <row r="11" spans="1:22" ht="15">
      <c r="A11" s="245">
        <v>43009</v>
      </c>
      <c r="B11" s="242">
        <v>60.988999999999997</v>
      </c>
      <c r="C11" s="246"/>
      <c r="D11" s="249">
        <v>2026</v>
      </c>
      <c r="E11" s="247">
        <v>3974745.4456165149</v>
      </c>
      <c r="F11" s="297">
        <f t="shared" si="2"/>
        <v>7.9299999999999995E-2</v>
      </c>
      <c r="G11" s="239">
        <f t="shared" ca="1" si="0"/>
        <v>680.66599999999983</v>
      </c>
      <c r="H11" s="239">
        <f t="shared" ca="1" si="1"/>
        <v>4290623.4254539041</v>
      </c>
      <c r="I11" s="249"/>
      <c r="J11" s="249"/>
      <c r="P11" s="249">
        <v>2014</v>
      </c>
      <c r="Q11" s="287"/>
      <c r="R11" s="240"/>
      <c r="S11" s="249"/>
    </row>
    <row r="12" spans="1:22" ht="15">
      <c r="A12" s="245">
        <v>43040</v>
      </c>
      <c r="B12" s="242">
        <v>25.033999999999999</v>
      </c>
      <c r="C12" s="246"/>
      <c r="D12" s="249">
        <v>2027</v>
      </c>
      <c r="E12" s="247">
        <v>3969284.869363456</v>
      </c>
      <c r="F12" s="297">
        <f t="shared" si="2"/>
        <v>7.9299999999999995E-2</v>
      </c>
      <c r="G12" s="239">
        <f t="shared" ca="1" si="0"/>
        <v>680.66599999999983</v>
      </c>
      <c r="H12" s="239">
        <f t="shared" ca="1" si="1"/>
        <v>4284729.8255039779</v>
      </c>
      <c r="I12" s="249"/>
      <c r="J12" s="249"/>
      <c r="P12" s="249">
        <v>2015</v>
      </c>
      <c r="Q12" s="240">
        <f>Q11+U12</f>
        <v>0</v>
      </c>
      <c r="R12" s="240"/>
      <c r="S12" s="263"/>
    </row>
    <row r="13" spans="1:22" ht="15">
      <c r="A13" s="245">
        <v>43070</v>
      </c>
      <c r="B13" s="242">
        <v>79.95</v>
      </c>
      <c r="C13" s="246"/>
      <c r="D13" s="249">
        <v>2028</v>
      </c>
      <c r="E13" s="247">
        <v>3974678.3822942786</v>
      </c>
      <c r="F13" s="297">
        <f t="shared" si="2"/>
        <v>7.9299999999999995E-2</v>
      </c>
      <c r="G13" s="239">
        <f t="shared" ref="G13" ca="1" si="3">SUM(OFFSET($B$1,12*(D13-2017)+1,0,12,1))</f>
        <v>680.66600000000005</v>
      </c>
      <c r="H13" s="239">
        <f t="shared" ref="H13" ca="1" si="4">E13*(1+F13)+G13</f>
        <v>4290551.0440102145</v>
      </c>
      <c r="I13" s="249"/>
      <c r="J13" s="249"/>
      <c r="P13" s="249">
        <v>2016</v>
      </c>
      <c r="Q13" s="240">
        <f t="shared" ref="Q13:R17" si="5">Q12+U13</f>
        <v>0</v>
      </c>
      <c r="R13" s="240"/>
      <c r="S13" s="263"/>
      <c r="U13" s="264">
        <v>0</v>
      </c>
    </row>
    <row r="14" spans="1:22" ht="15">
      <c r="A14" s="245">
        <v>43101</v>
      </c>
      <c r="B14" s="242">
        <v>26.193999999999999</v>
      </c>
      <c r="C14" s="246"/>
      <c r="D14" s="249">
        <v>2029</v>
      </c>
      <c r="E14" s="247">
        <v>3967206.08433678</v>
      </c>
      <c r="F14" s="297">
        <f t="shared" si="2"/>
        <v>7.9299999999999995E-2</v>
      </c>
      <c r="G14" s="239">
        <f t="shared" ref="G14" ca="1" si="6">SUM(OFFSET($B$1,12*(D14-2017)+1,0,12,1))</f>
        <v>680.66599999999971</v>
      </c>
      <c r="H14" s="239">
        <f t="shared" ref="H14" ca="1" si="7">E14*(1+F14)+G14</f>
        <v>4282486.1928246869</v>
      </c>
      <c r="I14" s="249"/>
      <c r="J14" s="249"/>
      <c r="P14" s="249">
        <v>2017</v>
      </c>
      <c r="Q14" s="240">
        <f t="shared" si="5"/>
        <v>0</v>
      </c>
      <c r="R14" s="240"/>
      <c r="S14" s="263"/>
      <c r="U14" s="264">
        <v>0</v>
      </c>
    </row>
    <row r="15" spans="1:22" ht="15">
      <c r="A15" s="245">
        <v>43132</v>
      </c>
      <c r="B15" s="242">
        <v>108.31699999999999</v>
      </c>
      <c r="C15" s="246"/>
      <c r="D15" s="249">
        <v>2030</v>
      </c>
      <c r="E15" s="247">
        <v>4041427.7081638286</v>
      </c>
      <c r="F15" s="297">
        <f t="shared" si="2"/>
        <v>7.9299999999999995E-2</v>
      </c>
      <c r="G15" s="239">
        <f t="shared" ref="G15" ca="1" si="8">SUM(OFFSET($B$1,12*(D15-2017)+1,0,12,1))</f>
        <v>680.66599999999937</v>
      </c>
      <c r="H15" s="239">
        <f t="shared" ref="H15" ca="1" si="9">E15*(1+F15)+G15</f>
        <v>4362593.5914212205</v>
      </c>
      <c r="I15" s="249"/>
      <c r="J15" s="249"/>
      <c r="P15" s="249">
        <v>2018</v>
      </c>
      <c r="Q15" s="240">
        <f t="shared" si="5"/>
        <v>13571.969435388704</v>
      </c>
      <c r="R15" s="240">
        <f t="shared" si="5"/>
        <v>0</v>
      </c>
      <c r="S15" s="249"/>
      <c r="U15" s="264">
        <v>13571.969435388704</v>
      </c>
    </row>
    <row r="16" spans="1:22" ht="15">
      <c r="A16" s="245">
        <v>43160</v>
      </c>
      <c r="B16" s="242">
        <v>30.065000000000001</v>
      </c>
      <c r="C16" s="246"/>
      <c r="D16" s="249">
        <v>2031</v>
      </c>
      <c r="E16" s="247">
        <v>4048333.5970509602</v>
      </c>
      <c r="F16" s="297">
        <f t="shared" si="2"/>
        <v>7.9299999999999995E-2</v>
      </c>
      <c r="G16" s="239">
        <f t="shared" ref="G16" ca="1" si="10">SUM(OFFSET($B$1,12*(D16-2017)+1,0,12,1))</f>
        <v>680.6659999999996</v>
      </c>
      <c r="H16" s="239">
        <f t="shared" ref="H16" ca="1" si="11">E16*(1+F16)+G16</f>
        <v>4370047.1172971008</v>
      </c>
      <c r="I16" s="249"/>
      <c r="J16" s="249"/>
      <c r="P16" s="249">
        <v>2019</v>
      </c>
      <c r="Q16" s="240">
        <f t="shared" si="5"/>
        <v>40140.348272684918</v>
      </c>
      <c r="R16" s="240">
        <f t="shared" si="5"/>
        <v>12010.59732240988</v>
      </c>
      <c r="S16" s="249"/>
      <c r="U16" s="264">
        <v>26568.378837296212</v>
      </c>
      <c r="V16" s="264">
        <v>12010.59732240988</v>
      </c>
    </row>
    <row r="17" spans="1:22" ht="15">
      <c r="A17" s="245">
        <v>43191</v>
      </c>
      <c r="B17" s="242">
        <v>38.880000000000003</v>
      </c>
      <c r="C17" s="246"/>
      <c r="D17" s="249">
        <v>2032</v>
      </c>
      <c r="E17" s="247">
        <v>4066652.1140413666</v>
      </c>
      <c r="F17" s="297">
        <f t="shared" si="2"/>
        <v>7.9299999999999995E-2</v>
      </c>
      <c r="G17" s="239">
        <f t="shared" ref="G17" ca="1" si="12">SUM(OFFSET($B$1,12*(D17-2017)+1,0,12,1))</f>
        <v>680.66600000000005</v>
      </c>
      <c r="H17" s="239">
        <f t="shared" ref="H17" ca="1" si="13">E17*(1+F17)+G17</f>
        <v>4389818.2926848466</v>
      </c>
      <c r="I17" s="249"/>
      <c r="J17" s="249"/>
      <c r="P17" s="249">
        <v>2020</v>
      </c>
      <c r="Q17" s="240">
        <f t="shared" si="5"/>
        <v>50604.789000214922</v>
      </c>
      <c r="R17" s="240">
        <f t="shared" si="5"/>
        <v>17380.836588567436</v>
      </c>
      <c r="S17" s="249"/>
      <c r="U17" s="264">
        <v>10464.440727530007</v>
      </c>
      <c r="V17" s="264">
        <v>5370.2392661575541</v>
      </c>
    </row>
    <row r="18" spans="1:22" ht="15">
      <c r="A18" s="245">
        <v>43221</v>
      </c>
      <c r="B18" s="242">
        <v>29.91</v>
      </c>
      <c r="C18" s="246"/>
      <c r="D18" s="249">
        <v>2033</v>
      </c>
      <c r="E18" s="247">
        <v>4076531.5451216539</v>
      </c>
      <c r="F18" s="297">
        <f t="shared" si="2"/>
        <v>7.9299999999999995E-2</v>
      </c>
      <c r="G18" s="239">
        <f t="shared" ref="G18" ca="1" si="14">SUM(OFFSET($B$1,12*(D18-2017)+1,0,12,1))</f>
        <v>680.66600000000028</v>
      </c>
      <c r="H18" s="239">
        <f ca="1">E18*(1+F18)+G18</f>
        <v>4400481.162649801</v>
      </c>
      <c r="I18" s="249"/>
      <c r="J18" s="249"/>
      <c r="P18" s="249">
        <v>2021</v>
      </c>
      <c r="Q18" s="240">
        <f t="shared" ref="Q18" si="15">Q17+U18</f>
        <v>60035.67686647363</v>
      </c>
      <c r="R18" s="240">
        <f>R17+V18</f>
        <v>19657.127733804009</v>
      </c>
      <c r="S18" s="249"/>
      <c r="U18" s="264">
        <v>9430.8878662587103</v>
      </c>
      <c r="V18" s="264">
        <v>2276.2911452365729</v>
      </c>
    </row>
    <row r="19" spans="1:22" ht="15">
      <c r="A19" s="245">
        <v>43252</v>
      </c>
      <c r="B19" s="242">
        <v>153.79300000000001</v>
      </c>
      <c r="C19" s="246"/>
      <c r="D19" s="249">
        <v>2034</v>
      </c>
      <c r="E19" s="247">
        <v>4094854.9444388049</v>
      </c>
      <c r="F19" s="297">
        <f t="shared" si="2"/>
        <v>7.9299999999999995E-2</v>
      </c>
      <c r="G19" s="239">
        <f t="shared" ref="G19" ca="1" si="16">SUM(OFFSET($B$1,12*(D19-2017)+1,0,12,1))</f>
        <v>0</v>
      </c>
      <c r="H19" s="239">
        <f ca="1">E19*(1+F19)+G19</f>
        <v>4419576.9415328018</v>
      </c>
      <c r="I19" s="249"/>
      <c r="J19" s="249"/>
      <c r="K19" s="249"/>
      <c r="L19" s="249"/>
      <c r="M19" s="249"/>
      <c r="N19" s="249"/>
      <c r="P19" s="249">
        <v>2022</v>
      </c>
      <c r="Q19" s="240">
        <f t="shared" ref="Q19:R19" si="17">Q18+U19</f>
        <v>64309.67686647363</v>
      </c>
      <c r="R19" s="240">
        <f t="shared" si="17"/>
        <v>23972.596173116835</v>
      </c>
      <c r="S19" s="249"/>
      <c r="U19" s="264">
        <v>4274</v>
      </c>
      <c r="V19" s="264">
        <v>4315.4684393128246</v>
      </c>
    </row>
    <row r="20" spans="1:22" ht="15">
      <c r="A20" s="245">
        <v>43282</v>
      </c>
      <c r="B20" s="242">
        <v>71.099999999999994</v>
      </c>
      <c r="C20" s="246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P20" s="249">
        <v>2023</v>
      </c>
      <c r="Q20" s="240">
        <f t="shared" ref="Q20" si="18">Q19+U20</f>
        <v>76941.179604049641</v>
      </c>
      <c r="R20" s="240">
        <f t="shared" ref="R20" si="19">R19+V20</f>
        <v>27403.456690683466</v>
      </c>
      <c r="U20" s="264">
        <v>12631.502737576016</v>
      </c>
      <c r="V20">
        <v>3430.8605175666289</v>
      </c>
    </row>
    <row r="21" spans="1:22" ht="15">
      <c r="A21" s="245">
        <v>43313</v>
      </c>
      <c r="B21" s="242">
        <v>70.13</v>
      </c>
      <c r="C21" s="246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</row>
    <row r="22" spans="1:22" ht="15">
      <c r="A22" s="245">
        <v>43344</v>
      </c>
      <c r="B22" s="242">
        <v>599.25800000000004</v>
      </c>
      <c r="C22" s="246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</row>
    <row r="23" spans="1:22" ht="15">
      <c r="A23" s="245">
        <v>43374</v>
      </c>
      <c r="B23" s="242">
        <v>-472.31400000000002</v>
      </c>
      <c r="C23" s="246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</row>
    <row r="24" spans="1:22" ht="15">
      <c r="A24" s="245">
        <v>43405</v>
      </c>
      <c r="B24" s="242">
        <v>61.345999999999997</v>
      </c>
      <c r="C24" s="246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</row>
    <row r="25" spans="1:22" ht="15">
      <c r="A25" s="245">
        <v>43435</v>
      </c>
      <c r="B25" s="242">
        <v>59.591999999999999</v>
      </c>
      <c r="C25" s="246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</row>
    <row r="26" spans="1:22" ht="15">
      <c r="A26" s="245">
        <v>43466</v>
      </c>
      <c r="B26" s="242">
        <v>48.097000000000001</v>
      </c>
      <c r="C26" s="246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</row>
    <row r="27" spans="1:22" ht="15">
      <c r="A27" s="245">
        <v>43497</v>
      </c>
      <c r="B27" s="242">
        <v>69.251000000000005</v>
      </c>
      <c r="C27" s="246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</row>
    <row r="28" spans="1:22" ht="15">
      <c r="A28" s="245">
        <v>43525</v>
      </c>
      <c r="B28" s="242">
        <v>69.436000000000007</v>
      </c>
      <c r="C28" s="246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</row>
    <row r="29" spans="1:22" ht="15">
      <c r="A29" s="245">
        <v>43556</v>
      </c>
      <c r="B29" s="242">
        <v>70.016000000000005</v>
      </c>
      <c r="C29" s="246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</row>
    <row r="30" spans="1:22" ht="15">
      <c r="A30" s="245">
        <v>43586</v>
      </c>
      <c r="B30" s="242">
        <v>47.027000000000001</v>
      </c>
      <c r="C30" s="246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</row>
    <row r="31" spans="1:22" ht="15">
      <c r="A31" s="245">
        <v>43617</v>
      </c>
      <c r="B31" s="242">
        <v>45.572000000000003</v>
      </c>
      <c r="C31" s="246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</row>
    <row r="32" spans="1:22" ht="15">
      <c r="A32" s="245">
        <v>43647</v>
      </c>
      <c r="B32" s="242">
        <v>49.713999999999999</v>
      </c>
      <c r="C32" s="246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</row>
    <row r="33" spans="1:14" ht="15">
      <c r="A33" s="245">
        <v>43678</v>
      </c>
      <c r="B33" s="242">
        <v>57.844999999999999</v>
      </c>
      <c r="C33" s="24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</row>
    <row r="34" spans="1:14" ht="15">
      <c r="A34" s="245">
        <v>43709</v>
      </c>
      <c r="B34" s="242">
        <v>58.826000000000001</v>
      </c>
      <c r="C34" s="246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</row>
    <row r="35" spans="1:14" ht="15">
      <c r="A35" s="245">
        <v>43739</v>
      </c>
      <c r="B35" s="242">
        <v>56.261000000000003</v>
      </c>
      <c r="C35" s="246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</row>
    <row r="36" spans="1:14" ht="15">
      <c r="A36" s="245">
        <v>43770</v>
      </c>
      <c r="B36" s="242">
        <v>46.195999999999998</v>
      </c>
      <c r="C36" s="246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</row>
    <row r="37" spans="1:14" ht="15">
      <c r="A37" s="245">
        <v>43800</v>
      </c>
      <c r="B37" s="242">
        <v>49.162999999999997</v>
      </c>
      <c r="C37" s="246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</row>
    <row r="38" spans="1:14" ht="15">
      <c r="A38" s="245">
        <v>43831</v>
      </c>
      <c r="B38" s="242">
        <v>70.588999999999999</v>
      </c>
      <c r="C38" s="246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</row>
    <row r="39" spans="1:14" ht="15">
      <c r="A39" s="245">
        <v>43862</v>
      </c>
      <c r="B39" s="242">
        <v>70.537999999999997</v>
      </c>
      <c r="C39" s="246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</row>
    <row r="40" spans="1:14" ht="15">
      <c r="A40" s="245">
        <v>43891</v>
      </c>
      <c r="B40" s="242">
        <v>65.512</v>
      </c>
      <c r="C40" s="246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</row>
    <row r="41" spans="1:14" ht="15">
      <c r="A41" s="245">
        <v>43922</v>
      </c>
      <c r="B41" s="242">
        <v>61</v>
      </c>
      <c r="C41" s="246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</row>
    <row r="42" spans="1:14" ht="15">
      <c r="A42" s="245">
        <v>43952</v>
      </c>
      <c r="B42" s="242">
        <v>48.238999999999997</v>
      </c>
      <c r="C42" s="246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</row>
    <row r="43" spans="1:14" ht="15">
      <c r="A43" s="245">
        <v>43983</v>
      </c>
      <c r="B43" s="242">
        <v>39.527999999999999</v>
      </c>
      <c r="C43" s="246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</row>
    <row r="44" spans="1:14" ht="15">
      <c r="A44" s="245">
        <v>44013</v>
      </c>
      <c r="B44" s="242">
        <v>43.293999999999997</v>
      </c>
      <c r="C44" s="246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</row>
    <row r="45" spans="1:14" ht="15">
      <c r="A45" s="245">
        <v>44044</v>
      </c>
      <c r="B45" s="242">
        <v>50.713999999999999</v>
      </c>
      <c r="C45" s="246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</row>
    <row r="46" spans="1:14" ht="15">
      <c r="A46" s="245">
        <v>44075</v>
      </c>
      <c r="B46" s="242">
        <v>46.527000000000001</v>
      </c>
      <c r="C46" s="246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</row>
    <row r="47" spans="1:14" ht="15">
      <c r="A47" s="245">
        <v>44105</v>
      </c>
      <c r="B47" s="242">
        <v>45</v>
      </c>
      <c r="C47" s="246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</row>
    <row r="48" spans="1:14" ht="15">
      <c r="A48" s="245">
        <v>44136</v>
      </c>
      <c r="B48" s="242">
        <v>36.618000000000002</v>
      </c>
      <c r="C48" s="246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</row>
    <row r="49" spans="1:14" ht="15">
      <c r="A49" s="245">
        <v>44166</v>
      </c>
      <c r="B49" s="242">
        <v>48.029000000000003</v>
      </c>
      <c r="C49" s="246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</row>
    <row r="50" spans="1:14" ht="15">
      <c r="A50" s="245">
        <v>44197</v>
      </c>
      <c r="B50" s="242">
        <v>63.207999999999998</v>
      </c>
      <c r="C50" s="246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</row>
    <row r="51" spans="1:14" ht="15">
      <c r="A51" s="245">
        <v>44228</v>
      </c>
      <c r="B51" s="242">
        <v>60.542999999999999</v>
      </c>
      <c r="C51" s="246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</row>
    <row r="52" spans="1:14" ht="15">
      <c r="A52" s="245">
        <v>44256</v>
      </c>
      <c r="B52" s="242">
        <v>66.257000000000005</v>
      </c>
      <c r="C52" s="246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</row>
    <row r="53" spans="1:14" ht="15">
      <c r="A53" s="245">
        <v>44287</v>
      </c>
      <c r="B53" s="242">
        <v>86.566999999999993</v>
      </c>
      <c r="C53" s="246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</row>
    <row r="54" spans="1:14" ht="15">
      <c r="A54" s="245">
        <v>44317</v>
      </c>
      <c r="B54" s="242">
        <v>63</v>
      </c>
      <c r="C54" s="246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</row>
    <row r="55" spans="1:14" ht="15">
      <c r="A55" s="245">
        <v>44348</v>
      </c>
      <c r="B55" s="242">
        <v>60.902999999999999</v>
      </c>
      <c r="C55" s="246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</row>
    <row r="56" spans="1:14" ht="15">
      <c r="A56" s="245">
        <v>44378</v>
      </c>
      <c r="B56" s="242">
        <v>68.453999999999994</v>
      </c>
      <c r="C56" s="246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</row>
    <row r="57" spans="1:14" ht="15">
      <c r="A57" s="245">
        <v>44409</v>
      </c>
      <c r="B57" s="242">
        <v>70.459999999999994</v>
      </c>
      <c r="C57" s="246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</row>
    <row r="58" spans="1:14" ht="15">
      <c r="A58" s="245">
        <v>44440</v>
      </c>
      <c r="B58" s="242">
        <v>71.850999999999999</v>
      </c>
      <c r="C58" s="246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</row>
    <row r="59" spans="1:14" ht="15">
      <c r="A59" s="245">
        <v>44470</v>
      </c>
      <c r="B59" s="242">
        <v>70.936999999999998</v>
      </c>
      <c r="C59" s="246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</row>
    <row r="60" spans="1:14" ht="15">
      <c r="A60" s="245">
        <v>44501</v>
      </c>
      <c r="B60" s="242">
        <v>59.878999999999998</v>
      </c>
      <c r="C60" s="246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</row>
    <row r="61" spans="1:14" ht="15">
      <c r="A61" s="245">
        <v>44531</v>
      </c>
      <c r="B61" s="242">
        <v>62.113</v>
      </c>
      <c r="C61" s="246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</row>
    <row r="62" spans="1:14" ht="15">
      <c r="A62" s="245">
        <v>44562</v>
      </c>
      <c r="B62" s="242">
        <v>66.744</v>
      </c>
      <c r="C62" s="246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</row>
    <row r="63" spans="1:14" ht="15">
      <c r="A63" s="245">
        <v>44593</v>
      </c>
      <c r="B63" s="242">
        <v>77.835999999999999</v>
      </c>
      <c r="C63" s="246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</row>
    <row r="64" spans="1:14" ht="15">
      <c r="A64" s="245">
        <v>44621</v>
      </c>
      <c r="B64" s="242">
        <v>67.358999999999995</v>
      </c>
      <c r="C64" s="246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</row>
    <row r="65" spans="1:14" ht="15">
      <c r="A65" s="245">
        <v>44652</v>
      </c>
      <c r="B65" s="242">
        <v>57.021000000000001</v>
      </c>
      <c r="C65" s="246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</row>
    <row r="66" spans="1:14" ht="15">
      <c r="A66" s="245">
        <v>44682</v>
      </c>
      <c r="B66" s="242">
        <v>48.59</v>
      </c>
      <c r="C66" s="246"/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49"/>
    </row>
    <row r="67" spans="1:14" ht="15">
      <c r="A67" s="245">
        <v>44713</v>
      </c>
      <c r="B67" s="242">
        <v>11.476000000000001</v>
      </c>
      <c r="C67" s="246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</row>
    <row r="68" spans="1:14" ht="15">
      <c r="A68" s="245">
        <v>44743</v>
      </c>
      <c r="B68" s="242">
        <v>58.209000000000003</v>
      </c>
      <c r="C68" s="246"/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</row>
    <row r="69" spans="1:14" ht="15">
      <c r="A69" s="245">
        <v>44774</v>
      </c>
      <c r="B69" s="242">
        <v>24.167000000000002</v>
      </c>
      <c r="C69" s="246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</row>
    <row r="70" spans="1:14" ht="15">
      <c r="A70" s="245">
        <v>44805</v>
      </c>
      <c r="B70" s="242">
        <v>22.603000000000002</v>
      </c>
      <c r="C70" s="246"/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49"/>
    </row>
    <row r="71" spans="1:14" ht="15">
      <c r="A71" s="245">
        <v>44835</v>
      </c>
      <c r="B71" s="242">
        <v>25.753</v>
      </c>
      <c r="C71" s="246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</row>
    <row r="72" spans="1:14" ht="15">
      <c r="A72" s="245">
        <v>44866</v>
      </c>
      <c r="B72" s="242">
        <v>25.489000000000001</v>
      </c>
      <c r="C72" s="246"/>
      <c r="D72" s="249"/>
      <c r="E72" s="249"/>
      <c r="F72" s="249"/>
      <c r="G72" s="249"/>
      <c r="H72" s="249"/>
      <c r="I72" s="249"/>
      <c r="J72" s="249"/>
      <c r="K72" s="249"/>
      <c r="L72" s="249"/>
      <c r="M72" s="249"/>
      <c r="N72" s="249"/>
    </row>
    <row r="73" spans="1:14" ht="15">
      <c r="A73" s="245">
        <v>44896</v>
      </c>
      <c r="B73" s="242">
        <v>57.776000000000003</v>
      </c>
      <c r="C73" s="246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</row>
    <row r="74" spans="1:14" ht="15">
      <c r="A74" s="245">
        <v>44927</v>
      </c>
      <c r="B74" s="242">
        <v>69.471999999999994</v>
      </c>
      <c r="C74" s="246"/>
      <c r="D74" s="249"/>
      <c r="E74" s="249"/>
      <c r="F74" s="249"/>
      <c r="G74" s="249"/>
      <c r="H74" s="249"/>
      <c r="I74" s="249"/>
      <c r="J74" s="249"/>
      <c r="K74" s="249"/>
      <c r="L74" s="249"/>
      <c r="M74" s="249"/>
      <c r="N74" s="249"/>
    </row>
    <row r="75" spans="1:14" ht="15">
      <c r="A75" s="245">
        <v>44958</v>
      </c>
      <c r="B75" s="242">
        <v>64.763000000000005</v>
      </c>
      <c r="C75" s="246"/>
      <c r="D75" s="249"/>
      <c r="E75" s="249"/>
      <c r="F75" s="249"/>
      <c r="G75" s="249"/>
      <c r="H75" s="249"/>
      <c r="I75" s="249"/>
      <c r="J75" s="249"/>
      <c r="K75" s="249"/>
      <c r="L75" s="249"/>
      <c r="M75" s="249"/>
      <c r="N75" s="249"/>
    </row>
    <row r="76" spans="1:14" ht="15">
      <c r="A76" s="245">
        <v>44986</v>
      </c>
      <c r="B76" s="242">
        <v>56.198</v>
      </c>
      <c r="C76" s="246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49"/>
    </row>
    <row r="77" spans="1:14" ht="15">
      <c r="A77" s="245">
        <v>45017</v>
      </c>
      <c r="B77" s="242">
        <v>45.545999999999999</v>
      </c>
      <c r="C77" s="246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</row>
    <row r="78" spans="1:14" ht="15">
      <c r="A78" s="245">
        <v>45047</v>
      </c>
      <c r="B78" s="242">
        <v>43.152999999999999</v>
      </c>
      <c r="C78" s="246"/>
      <c r="D78" s="249"/>
      <c r="E78" s="249"/>
      <c r="F78" s="249"/>
      <c r="G78" s="249"/>
      <c r="H78" s="249"/>
      <c r="I78" s="249"/>
      <c r="J78" s="249"/>
      <c r="K78" s="249"/>
      <c r="L78" s="249"/>
      <c r="M78" s="249"/>
      <c r="N78" s="249"/>
    </row>
    <row r="79" spans="1:14" ht="15">
      <c r="A79" s="245">
        <v>45078</v>
      </c>
      <c r="B79" s="242">
        <v>37.786999999999999</v>
      </c>
      <c r="C79" s="246"/>
      <c r="D79" s="249"/>
      <c r="E79" s="249"/>
      <c r="F79" s="249"/>
      <c r="G79" s="249"/>
      <c r="H79" s="249"/>
      <c r="I79" s="249"/>
      <c r="J79" s="249"/>
      <c r="K79" s="249"/>
      <c r="L79" s="249"/>
      <c r="M79" s="249"/>
      <c r="N79" s="249"/>
    </row>
    <row r="80" spans="1:14" ht="15">
      <c r="A80" s="245">
        <v>45108</v>
      </c>
      <c r="B80" s="242">
        <v>46.064</v>
      </c>
      <c r="C80" s="246"/>
      <c r="D80" s="249"/>
      <c r="E80" s="249"/>
      <c r="F80" s="249"/>
      <c r="G80" s="249"/>
      <c r="H80" s="249"/>
      <c r="I80" s="249"/>
      <c r="J80" s="249"/>
      <c r="K80" s="249"/>
      <c r="L80" s="249"/>
      <c r="M80" s="249"/>
      <c r="N80" s="249"/>
    </row>
    <row r="81" spans="1:14" ht="15">
      <c r="A81" s="245">
        <v>45139</v>
      </c>
      <c r="B81" s="242">
        <v>57.575000000000003</v>
      </c>
      <c r="C81" s="246"/>
      <c r="D81" s="249"/>
      <c r="E81" s="249"/>
      <c r="F81" s="249"/>
      <c r="G81" s="249"/>
      <c r="H81" s="249"/>
      <c r="I81" s="249"/>
      <c r="J81" s="249"/>
      <c r="K81" s="249"/>
      <c r="L81" s="249"/>
      <c r="M81" s="249"/>
      <c r="N81" s="249"/>
    </row>
    <row r="82" spans="1:14" ht="15">
      <c r="A82" s="245">
        <v>45170</v>
      </c>
      <c r="B82" s="242">
        <v>72.055000000000007</v>
      </c>
      <c r="C82" s="246"/>
      <c r="D82" s="249"/>
      <c r="E82" s="249"/>
      <c r="F82" s="249"/>
      <c r="G82" s="249"/>
      <c r="H82" s="249"/>
      <c r="I82" s="249"/>
      <c r="J82" s="249"/>
      <c r="K82" s="249"/>
      <c r="L82" s="249"/>
      <c r="M82" s="249"/>
      <c r="N82" s="249"/>
    </row>
    <row r="83" spans="1:14" ht="15">
      <c r="A83" s="245">
        <v>45200</v>
      </c>
      <c r="B83" s="242">
        <v>84.902000000000001</v>
      </c>
      <c r="C83" s="246"/>
      <c r="D83" s="249"/>
      <c r="E83" s="249"/>
      <c r="F83" s="249"/>
      <c r="G83" s="249"/>
      <c r="H83" s="249"/>
      <c r="I83" s="249"/>
      <c r="J83" s="249"/>
      <c r="K83" s="249"/>
      <c r="L83" s="249"/>
      <c r="M83" s="249"/>
      <c r="N83" s="249"/>
    </row>
    <row r="84" spans="1:14" ht="15">
      <c r="A84" s="245">
        <v>45231</v>
      </c>
      <c r="B84" s="242">
        <v>68.980999999999995</v>
      </c>
      <c r="C84" s="246"/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</row>
    <row r="85" spans="1:14" ht="15">
      <c r="A85" s="245">
        <v>45261</v>
      </c>
      <c r="B85" s="242">
        <v>59.259</v>
      </c>
      <c r="C85" s="246"/>
      <c r="D85" s="249"/>
      <c r="E85" s="249"/>
      <c r="F85" s="249"/>
      <c r="G85" s="249"/>
      <c r="H85" s="249"/>
      <c r="I85" s="249"/>
      <c r="J85" s="249"/>
      <c r="K85" s="249"/>
      <c r="L85" s="249"/>
      <c r="M85" s="249"/>
      <c r="N85" s="249"/>
    </row>
    <row r="86" spans="1:14" ht="15">
      <c r="A86" s="245">
        <v>45292</v>
      </c>
      <c r="B86" s="269">
        <v>57.040999999999976</v>
      </c>
      <c r="C86" s="246"/>
      <c r="D86" s="249"/>
      <c r="E86" s="249"/>
      <c r="F86" s="249"/>
      <c r="G86" s="249"/>
      <c r="H86" s="249"/>
      <c r="I86" s="249"/>
      <c r="J86" s="249"/>
      <c r="K86" s="249"/>
      <c r="L86" s="249"/>
      <c r="M86" s="249"/>
      <c r="N86" s="249"/>
    </row>
    <row r="87" spans="1:14" ht="15">
      <c r="A87" s="245">
        <v>45323</v>
      </c>
      <c r="B87" s="269">
        <v>77.562642857142848</v>
      </c>
      <c r="C87" s="246"/>
      <c r="D87" s="249"/>
      <c r="E87" s="249"/>
      <c r="F87" s="249"/>
      <c r="G87" s="249"/>
      <c r="H87" s="249"/>
      <c r="I87" s="249"/>
      <c r="J87" s="249"/>
      <c r="K87" s="249"/>
      <c r="L87" s="249"/>
      <c r="M87" s="249"/>
      <c r="N87" s="249"/>
    </row>
    <row r="88" spans="1:14" ht="15">
      <c r="A88" s="245">
        <v>45352</v>
      </c>
      <c r="B88" s="269">
        <v>56.757285714285835</v>
      </c>
      <c r="C88" s="246"/>
      <c r="D88" s="249"/>
      <c r="E88" s="249"/>
      <c r="F88" s="249"/>
      <c r="G88" s="249"/>
      <c r="H88" s="249"/>
      <c r="I88" s="249"/>
      <c r="J88" s="249"/>
      <c r="K88" s="249"/>
      <c r="L88" s="249"/>
      <c r="M88" s="249"/>
      <c r="N88" s="249"/>
    </row>
    <row r="89" spans="1:14" ht="15">
      <c r="A89" s="245">
        <v>45383</v>
      </c>
      <c r="B89" s="269">
        <v>58.016714285714272</v>
      </c>
      <c r="C89" s="246"/>
      <c r="D89" s="249"/>
      <c r="E89" s="249"/>
      <c r="F89" s="249"/>
      <c r="G89" s="249"/>
      <c r="H89" s="249"/>
      <c r="I89" s="249"/>
      <c r="J89" s="249"/>
      <c r="K89" s="249"/>
      <c r="L89" s="249"/>
      <c r="M89" s="249"/>
      <c r="N89" s="249"/>
    </row>
    <row r="90" spans="1:14" ht="15">
      <c r="A90" s="245">
        <v>45413</v>
      </c>
      <c r="B90" s="269">
        <v>45.095642857142735</v>
      </c>
      <c r="C90" s="246"/>
      <c r="D90" s="249"/>
      <c r="E90" s="249"/>
      <c r="F90" s="249"/>
      <c r="G90" s="249"/>
      <c r="H90" s="249"/>
      <c r="I90" s="249"/>
      <c r="J90" s="249"/>
      <c r="K90" s="249"/>
      <c r="L90" s="249"/>
      <c r="M90" s="249"/>
      <c r="N90" s="249"/>
    </row>
    <row r="91" spans="1:14" ht="15">
      <c r="A91" s="245">
        <v>45444</v>
      </c>
      <c r="B91" s="269">
        <v>60.096642857142726</v>
      </c>
      <c r="C91" s="246"/>
      <c r="D91" s="249"/>
      <c r="E91" s="249"/>
      <c r="F91" s="249"/>
      <c r="G91" s="249"/>
      <c r="H91" s="249"/>
      <c r="I91" s="249"/>
      <c r="J91" s="249"/>
      <c r="K91" s="249"/>
      <c r="L91" s="249"/>
      <c r="M91" s="249"/>
      <c r="N91" s="249"/>
    </row>
    <row r="92" spans="1:14" ht="15">
      <c r="A92" s="245">
        <v>45474</v>
      </c>
      <c r="B92" s="269">
        <v>59.519357142857196</v>
      </c>
      <c r="C92" s="246"/>
      <c r="D92" s="249"/>
      <c r="E92" s="249"/>
      <c r="F92" s="249"/>
      <c r="G92" s="249"/>
      <c r="H92" s="249"/>
      <c r="I92" s="249"/>
      <c r="J92" s="249"/>
      <c r="K92" s="249"/>
      <c r="L92" s="249"/>
      <c r="M92" s="249"/>
      <c r="N92" s="249"/>
    </row>
    <row r="93" spans="1:14" ht="15">
      <c r="A93" s="245">
        <v>45505</v>
      </c>
      <c r="B93" s="269">
        <v>57.337285714285663</v>
      </c>
      <c r="C93" s="246"/>
      <c r="D93" s="249"/>
      <c r="E93" s="249"/>
      <c r="F93" s="249"/>
      <c r="G93" s="249"/>
      <c r="H93" s="249"/>
      <c r="I93" s="249"/>
      <c r="J93" s="249"/>
      <c r="K93" s="249"/>
      <c r="L93" s="249"/>
      <c r="M93" s="249"/>
      <c r="N93" s="249"/>
    </row>
    <row r="94" spans="1:14" ht="15">
      <c r="A94" s="245">
        <v>45536</v>
      </c>
      <c r="B94" s="269">
        <v>53.630760989010867</v>
      </c>
      <c r="C94" s="246"/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</row>
    <row r="95" spans="1:14" ht="15">
      <c r="A95" s="245">
        <v>45566</v>
      </c>
      <c r="B95" s="269">
        <v>52.215453296703245</v>
      </c>
      <c r="C95" s="246"/>
      <c r="D95" s="249"/>
      <c r="E95" s="249"/>
      <c r="F95" s="249"/>
      <c r="G95" s="249"/>
      <c r="H95" s="249"/>
      <c r="I95" s="249"/>
      <c r="J95" s="249"/>
      <c r="K95" s="249"/>
      <c r="L95" s="249"/>
      <c r="M95" s="249"/>
      <c r="N95" s="249"/>
    </row>
    <row r="96" spans="1:14" ht="15">
      <c r="A96" s="245">
        <v>45597</v>
      </c>
      <c r="B96" s="269">
        <v>47.162357142857118</v>
      </c>
      <c r="C96" s="246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49"/>
    </row>
    <row r="97" spans="1:14" ht="15">
      <c r="A97" s="245">
        <v>45627</v>
      </c>
      <c r="B97" s="269">
        <v>56.230857142857218</v>
      </c>
      <c r="C97" s="246"/>
      <c r="D97" s="249"/>
      <c r="E97" s="249"/>
      <c r="F97" s="249"/>
      <c r="G97" s="249"/>
      <c r="H97" s="249"/>
      <c r="I97" s="249"/>
      <c r="J97" s="249"/>
      <c r="K97" s="249"/>
      <c r="L97" s="249"/>
      <c r="M97" s="249"/>
      <c r="N97" s="249"/>
    </row>
    <row r="98" spans="1:14" ht="15">
      <c r="A98" s="245">
        <v>45658</v>
      </c>
      <c r="B98" s="269">
        <v>57.040999999999919</v>
      </c>
      <c r="C98" s="246"/>
      <c r="D98" s="249"/>
      <c r="E98" s="249"/>
      <c r="F98" s="249"/>
      <c r="G98" s="249"/>
      <c r="H98" s="249"/>
      <c r="I98" s="249"/>
      <c r="J98" s="249"/>
      <c r="K98" s="249"/>
      <c r="L98" s="249"/>
      <c r="M98" s="249"/>
      <c r="N98" s="249"/>
    </row>
    <row r="99" spans="1:14" ht="15">
      <c r="A99" s="245">
        <v>45689</v>
      </c>
      <c r="B99" s="269">
        <v>77.562642857142833</v>
      </c>
      <c r="C99" s="246"/>
      <c r="D99" s="249"/>
      <c r="E99" s="249"/>
      <c r="F99" s="249"/>
      <c r="G99" s="249"/>
      <c r="H99" s="249"/>
      <c r="I99" s="249"/>
      <c r="J99" s="249"/>
      <c r="K99" s="249"/>
      <c r="L99" s="249"/>
      <c r="M99" s="249"/>
      <c r="N99" s="249"/>
    </row>
    <row r="100" spans="1:14" ht="15">
      <c r="A100" s="245">
        <v>45717</v>
      </c>
      <c r="B100" s="269">
        <v>56.757285714285693</v>
      </c>
      <c r="C100" s="246"/>
      <c r="D100" s="249"/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</row>
    <row r="101" spans="1:14" ht="15">
      <c r="A101" s="245">
        <v>45748</v>
      </c>
      <c r="B101" s="269">
        <v>58.016714285714244</v>
      </c>
      <c r="C101" s="246"/>
      <c r="D101" s="249"/>
      <c r="E101" s="249"/>
      <c r="F101" s="249"/>
      <c r="G101" s="249"/>
      <c r="H101" s="249"/>
      <c r="I101" s="249"/>
      <c r="J101" s="249"/>
      <c r="K101" s="249"/>
      <c r="L101" s="249"/>
      <c r="M101" s="249"/>
      <c r="N101" s="249"/>
    </row>
    <row r="102" spans="1:14" ht="15">
      <c r="A102" s="245">
        <v>45778</v>
      </c>
      <c r="B102" s="269">
        <v>45.095642857142849</v>
      </c>
      <c r="C102" s="246"/>
      <c r="D102" s="249"/>
      <c r="E102" s="249"/>
      <c r="F102" s="249"/>
      <c r="G102" s="249"/>
      <c r="H102" s="249"/>
      <c r="I102" s="249"/>
      <c r="J102" s="249"/>
      <c r="K102" s="249"/>
      <c r="L102" s="249"/>
      <c r="M102" s="249"/>
      <c r="N102" s="249"/>
    </row>
    <row r="103" spans="1:14" ht="15">
      <c r="A103" s="245">
        <v>45809</v>
      </c>
      <c r="B103" s="269">
        <v>60.096642857142911</v>
      </c>
      <c r="C103" s="246"/>
      <c r="D103" s="249"/>
      <c r="E103" s="249"/>
      <c r="F103" s="249"/>
      <c r="G103" s="249"/>
      <c r="H103" s="249"/>
      <c r="I103" s="249"/>
      <c r="J103" s="249"/>
      <c r="K103" s="249"/>
      <c r="L103" s="249"/>
      <c r="M103" s="249"/>
      <c r="N103" s="249"/>
    </row>
    <row r="104" spans="1:14" ht="15">
      <c r="A104" s="245">
        <v>45839</v>
      </c>
      <c r="B104" s="269">
        <v>59.519357142857132</v>
      </c>
      <c r="C104" s="246"/>
      <c r="D104" s="249"/>
      <c r="E104" s="249"/>
      <c r="F104" s="249"/>
      <c r="G104" s="249"/>
      <c r="H104" s="249"/>
      <c r="I104" s="249"/>
      <c r="J104" s="249"/>
      <c r="K104" s="249"/>
      <c r="L104" s="249"/>
      <c r="M104" s="249"/>
      <c r="N104" s="249"/>
    </row>
    <row r="105" spans="1:14" ht="15">
      <c r="A105" s="245">
        <v>45870</v>
      </c>
      <c r="B105" s="269">
        <v>57.337285714285692</v>
      </c>
      <c r="C105" s="246"/>
      <c r="D105" s="249"/>
      <c r="E105" s="249"/>
      <c r="F105" s="249"/>
      <c r="G105" s="249"/>
      <c r="H105" s="249"/>
      <c r="I105" s="249"/>
      <c r="J105" s="249"/>
      <c r="K105" s="249"/>
      <c r="L105" s="249"/>
      <c r="M105" s="249"/>
      <c r="N105" s="249"/>
    </row>
    <row r="106" spans="1:14" ht="15">
      <c r="A106" s="245">
        <v>45901</v>
      </c>
      <c r="B106" s="269">
        <v>53.630760989010973</v>
      </c>
      <c r="C106" s="246"/>
      <c r="D106" s="249"/>
      <c r="E106" s="249"/>
      <c r="F106" s="249"/>
      <c r="G106" s="249"/>
      <c r="H106" s="249"/>
      <c r="I106" s="249"/>
      <c r="J106" s="249"/>
      <c r="K106" s="249"/>
      <c r="L106" s="249"/>
      <c r="M106" s="249"/>
      <c r="N106" s="249"/>
    </row>
    <row r="107" spans="1:14" ht="15">
      <c r="A107" s="245">
        <v>45931</v>
      </c>
      <c r="B107" s="269">
        <v>52.215453296703203</v>
      </c>
      <c r="C107" s="246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49"/>
    </row>
    <row r="108" spans="1:14" ht="15">
      <c r="A108" s="245">
        <v>45962</v>
      </c>
      <c r="B108" s="269">
        <v>47.162357142857097</v>
      </c>
      <c r="C108" s="246"/>
      <c r="D108" s="249"/>
      <c r="E108" s="249"/>
      <c r="F108" s="249"/>
      <c r="G108" s="249"/>
      <c r="H108" s="249"/>
      <c r="I108" s="249"/>
      <c r="J108" s="249"/>
      <c r="K108" s="249"/>
      <c r="L108" s="249"/>
      <c r="M108" s="249"/>
      <c r="N108" s="249"/>
    </row>
    <row r="109" spans="1:14" ht="15">
      <c r="A109" s="245">
        <v>45992</v>
      </c>
      <c r="B109" s="269">
        <v>56.230857142857097</v>
      </c>
      <c r="C109" s="246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49"/>
    </row>
    <row r="110" spans="1:14" ht="15">
      <c r="A110" s="245">
        <v>46023</v>
      </c>
      <c r="B110" s="269">
        <v>57.041000000000082</v>
      </c>
      <c r="C110" s="246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</row>
    <row r="111" spans="1:14" ht="15">
      <c r="A111" s="245">
        <v>46054</v>
      </c>
      <c r="B111" s="269">
        <v>77.562642857142848</v>
      </c>
      <c r="C111" s="246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</row>
    <row r="112" spans="1:14" ht="15">
      <c r="A112" s="245">
        <v>46082</v>
      </c>
      <c r="B112" s="269">
        <v>56.757285714285764</v>
      </c>
      <c r="C112" s="246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</row>
    <row r="113" spans="1:14" ht="15">
      <c r="A113" s="245">
        <v>46113</v>
      </c>
      <c r="B113" s="269">
        <v>58.016714285714272</v>
      </c>
      <c r="C113" s="246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</row>
    <row r="114" spans="1:14" ht="15">
      <c r="A114" s="245">
        <v>46143</v>
      </c>
      <c r="B114" s="269">
        <v>45.095642857142849</v>
      </c>
      <c r="C114" s="246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</row>
    <row r="115" spans="1:14" ht="15">
      <c r="A115" s="245">
        <v>46174</v>
      </c>
      <c r="B115" s="269">
        <v>60.096642857142726</v>
      </c>
      <c r="C115" s="246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</row>
    <row r="116" spans="1:14" ht="15">
      <c r="A116" s="245">
        <v>46204</v>
      </c>
      <c r="B116" s="269">
        <v>59.519357142857153</v>
      </c>
      <c r="C116" s="246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49"/>
    </row>
    <row r="117" spans="1:14" ht="15">
      <c r="A117" s="245">
        <v>46235</v>
      </c>
      <c r="B117" s="269">
        <v>57.337285714285613</v>
      </c>
      <c r="C117" s="246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</row>
    <row r="118" spans="1:14" ht="15">
      <c r="A118" s="245">
        <v>46266</v>
      </c>
      <c r="B118" s="269">
        <v>53.630760989011009</v>
      </c>
      <c r="C118" s="246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</row>
    <row r="119" spans="1:14" ht="15">
      <c r="A119" s="245">
        <v>46296</v>
      </c>
      <c r="B119" s="269">
        <v>52.215453296703267</v>
      </c>
      <c r="C119" s="246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49"/>
    </row>
    <row r="120" spans="1:14" ht="15">
      <c r="A120" s="245">
        <v>46327</v>
      </c>
      <c r="B120" s="269">
        <v>47.162357142857196</v>
      </c>
      <c r="C120" s="246"/>
      <c r="D120" s="249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</row>
    <row r="121" spans="1:14" ht="15">
      <c r="A121" s="245">
        <v>46357</v>
      </c>
      <c r="B121" s="269">
        <v>56.230857142857097</v>
      </c>
      <c r="C121" s="246"/>
      <c r="D121" s="249"/>
      <c r="E121" s="249"/>
      <c r="F121" s="249"/>
      <c r="G121" s="249"/>
      <c r="H121" s="249"/>
      <c r="I121" s="249"/>
      <c r="J121" s="249"/>
      <c r="K121" s="249"/>
      <c r="L121" s="249"/>
      <c r="M121" s="249"/>
      <c r="N121" s="249"/>
    </row>
    <row r="122" spans="1:14" ht="15">
      <c r="A122" s="245">
        <v>46388</v>
      </c>
      <c r="B122" s="269">
        <v>57.041000000000118</v>
      </c>
      <c r="C122" s="246"/>
      <c r="D122" s="249"/>
      <c r="E122" s="249"/>
      <c r="F122" s="249"/>
      <c r="G122" s="249"/>
      <c r="H122" s="249"/>
      <c r="I122" s="249"/>
      <c r="J122" s="249"/>
      <c r="K122" s="249"/>
      <c r="L122" s="249"/>
      <c r="M122" s="249"/>
      <c r="N122" s="249"/>
    </row>
    <row r="123" spans="1:14" ht="15">
      <c r="A123" s="245">
        <v>46419</v>
      </c>
      <c r="B123" s="269">
        <v>77.562642857142833</v>
      </c>
      <c r="C123" s="246"/>
      <c r="D123" s="249"/>
      <c r="E123" s="249"/>
      <c r="F123" s="249"/>
      <c r="G123" s="249"/>
      <c r="H123" s="249"/>
      <c r="I123" s="249"/>
      <c r="J123" s="249"/>
      <c r="K123" s="249"/>
      <c r="L123" s="249"/>
      <c r="M123" s="249"/>
      <c r="N123" s="249"/>
    </row>
    <row r="124" spans="1:14" ht="15">
      <c r="A124" s="245">
        <v>46447</v>
      </c>
      <c r="B124" s="269">
        <v>56.75728571428575</v>
      </c>
      <c r="C124" s="246"/>
      <c r="D124" s="249"/>
      <c r="E124" s="249"/>
      <c r="F124" s="249"/>
      <c r="G124" s="249"/>
      <c r="H124" s="249"/>
      <c r="I124" s="249"/>
      <c r="J124" s="249"/>
      <c r="K124" s="249"/>
      <c r="L124" s="249"/>
      <c r="M124" s="249"/>
      <c r="N124" s="249"/>
    </row>
    <row r="125" spans="1:14" ht="15">
      <c r="A125" s="245">
        <v>46478</v>
      </c>
      <c r="B125" s="269">
        <v>58.01671428571418</v>
      </c>
      <c r="C125" s="246"/>
      <c r="D125" s="249"/>
      <c r="E125" s="249"/>
      <c r="F125" s="249"/>
      <c r="G125" s="249"/>
      <c r="H125" s="249"/>
      <c r="I125" s="249"/>
      <c r="J125" s="249"/>
      <c r="K125" s="249"/>
      <c r="L125" s="249"/>
      <c r="M125" s="249"/>
      <c r="N125" s="249"/>
    </row>
    <row r="126" spans="1:14" ht="15">
      <c r="A126" s="245">
        <v>46508</v>
      </c>
      <c r="B126" s="269">
        <v>45.095642857142821</v>
      </c>
      <c r="C126" s="246"/>
      <c r="D126" s="249"/>
      <c r="E126" s="249"/>
      <c r="F126" s="249"/>
      <c r="G126" s="249"/>
      <c r="H126" s="249"/>
      <c r="I126" s="249"/>
      <c r="J126" s="249"/>
      <c r="K126" s="249"/>
      <c r="L126" s="249"/>
      <c r="M126" s="249"/>
      <c r="N126" s="249"/>
    </row>
    <row r="127" spans="1:14" ht="15">
      <c r="A127" s="245">
        <v>46539</v>
      </c>
      <c r="B127" s="269">
        <v>60.096642857142804</v>
      </c>
      <c r="C127" s="246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</row>
    <row r="128" spans="1:14" ht="15">
      <c r="A128" s="245">
        <v>46569</v>
      </c>
      <c r="B128" s="269">
        <v>59.519357142857224</v>
      </c>
      <c r="C128" s="246"/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49"/>
    </row>
    <row r="129" spans="1:14" ht="15">
      <c r="A129" s="245">
        <v>46600</v>
      </c>
      <c r="B129" s="269">
        <v>57.337285714285713</v>
      </c>
      <c r="C129" s="246"/>
      <c r="D129" s="249"/>
      <c r="E129" s="249"/>
      <c r="F129" s="249"/>
      <c r="G129" s="249"/>
      <c r="H129" s="249"/>
      <c r="I129" s="249"/>
      <c r="J129" s="249"/>
      <c r="K129" s="249"/>
      <c r="L129" s="249"/>
      <c r="M129" s="249"/>
      <c r="N129" s="249"/>
    </row>
    <row r="130" spans="1:14" ht="15">
      <c r="A130" s="245">
        <v>46631</v>
      </c>
      <c r="B130" s="269">
        <v>53.630760989011002</v>
      </c>
      <c r="C130" s="246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</row>
    <row r="131" spans="1:14" ht="15">
      <c r="A131" s="245">
        <v>46661</v>
      </c>
      <c r="B131" s="269">
        <v>52.215453296703224</v>
      </c>
      <c r="C131" s="246"/>
      <c r="D131" s="249"/>
      <c r="E131" s="249"/>
      <c r="F131" s="249"/>
      <c r="G131" s="249"/>
      <c r="H131" s="249"/>
      <c r="I131" s="249"/>
      <c r="J131" s="249"/>
      <c r="K131" s="249"/>
      <c r="L131" s="249"/>
      <c r="M131" s="249"/>
      <c r="N131" s="249"/>
    </row>
    <row r="132" spans="1:14" ht="15">
      <c r="A132" s="245">
        <v>46692</v>
      </c>
      <c r="B132" s="269">
        <v>47.162357142857147</v>
      </c>
      <c r="C132" s="246"/>
      <c r="D132" s="249"/>
      <c r="E132" s="249"/>
      <c r="F132" s="249"/>
      <c r="G132" s="249"/>
      <c r="H132" s="249"/>
      <c r="I132" s="249"/>
      <c r="J132" s="249"/>
      <c r="K132" s="249"/>
      <c r="L132" s="249"/>
      <c r="M132" s="249"/>
      <c r="N132" s="249"/>
    </row>
    <row r="133" spans="1:14" ht="15">
      <c r="A133" s="245">
        <v>46722</v>
      </c>
      <c r="B133" s="269">
        <v>56.230857142857076</v>
      </c>
      <c r="C133" s="246"/>
      <c r="D133" s="249"/>
      <c r="E133" s="249"/>
      <c r="F133" s="249"/>
      <c r="G133" s="249"/>
      <c r="H133" s="249"/>
      <c r="I133" s="249"/>
      <c r="J133" s="249"/>
      <c r="K133" s="249"/>
      <c r="L133" s="249"/>
      <c r="M133" s="249"/>
      <c r="N133" s="249"/>
    </row>
    <row r="134" spans="1:14" ht="15">
      <c r="A134" s="245">
        <v>46753</v>
      </c>
      <c r="B134" s="269">
        <v>57.040999999999904</v>
      </c>
      <c r="C134" s="249"/>
      <c r="D134" s="249"/>
      <c r="E134" s="249"/>
      <c r="F134" s="249"/>
      <c r="G134" s="249"/>
      <c r="H134" s="249"/>
      <c r="I134" s="249"/>
      <c r="J134" s="249"/>
      <c r="K134" s="249"/>
      <c r="L134" s="249"/>
      <c r="M134" s="249"/>
      <c r="N134" s="249"/>
    </row>
    <row r="135" spans="1:14" ht="15">
      <c r="A135" s="245">
        <v>46784</v>
      </c>
      <c r="B135" s="269">
        <v>77.562642857142947</v>
      </c>
      <c r="C135" s="249"/>
      <c r="D135" s="249"/>
      <c r="E135" s="249"/>
      <c r="F135" s="249"/>
      <c r="G135" s="249"/>
      <c r="H135" s="249"/>
      <c r="I135" s="249"/>
      <c r="J135" s="249"/>
      <c r="K135" s="249"/>
      <c r="L135" s="249"/>
      <c r="M135" s="249"/>
      <c r="N135" s="249"/>
    </row>
    <row r="136" spans="1:14" ht="15">
      <c r="A136" s="245">
        <v>46813</v>
      </c>
      <c r="B136" s="269">
        <v>56.757285714285658</v>
      </c>
      <c r="C136" s="249"/>
      <c r="D136" s="249"/>
      <c r="E136" s="249"/>
      <c r="F136" s="249"/>
      <c r="G136" s="249"/>
      <c r="H136" s="249"/>
      <c r="I136" s="249"/>
      <c r="J136" s="249"/>
      <c r="K136" s="249"/>
      <c r="L136" s="249"/>
      <c r="M136" s="249"/>
      <c r="N136" s="249"/>
    </row>
    <row r="137" spans="1:14" ht="15">
      <c r="A137" s="245">
        <v>46844</v>
      </c>
      <c r="B137" s="269">
        <v>58.016714285714265</v>
      </c>
      <c r="C137" s="249"/>
      <c r="D137" s="249"/>
      <c r="E137" s="249"/>
      <c r="F137" s="249"/>
      <c r="G137" s="249"/>
      <c r="H137" s="249"/>
      <c r="I137" s="249"/>
      <c r="J137" s="249"/>
      <c r="K137" s="249"/>
      <c r="L137" s="249"/>
      <c r="M137" s="249"/>
      <c r="N137" s="249"/>
    </row>
    <row r="138" spans="1:14" ht="15">
      <c r="A138" s="245">
        <v>46874</v>
      </c>
      <c r="B138" s="269">
        <v>45.095642857142799</v>
      </c>
      <c r="C138" s="249"/>
      <c r="D138" s="249"/>
      <c r="E138" s="249"/>
      <c r="F138" s="249"/>
      <c r="G138" s="249"/>
      <c r="H138" s="249"/>
      <c r="I138" s="249"/>
      <c r="J138" s="249"/>
      <c r="K138" s="249"/>
      <c r="L138" s="249"/>
      <c r="M138" s="249"/>
      <c r="N138" s="249"/>
    </row>
    <row r="139" spans="1:14" ht="15">
      <c r="A139" s="245">
        <v>46905</v>
      </c>
      <c r="B139" s="269">
        <v>60.096642857142903</v>
      </c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249"/>
      <c r="N139" s="249"/>
    </row>
    <row r="140" spans="1:14" ht="15">
      <c r="A140" s="245">
        <v>46935</v>
      </c>
      <c r="B140" s="269">
        <v>59.519357142857139</v>
      </c>
      <c r="C140" s="249"/>
      <c r="D140" s="249"/>
      <c r="E140" s="249"/>
      <c r="F140" s="249"/>
      <c r="G140" s="249"/>
      <c r="H140" s="249"/>
      <c r="I140" s="249"/>
      <c r="J140" s="249"/>
      <c r="K140" s="249"/>
      <c r="L140" s="249"/>
      <c r="M140" s="249"/>
      <c r="N140" s="249"/>
    </row>
    <row r="141" spans="1:14" ht="15">
      <c r="A141" s="245">
        <v>46966</v>
      </c>
      <c r="B141" s="269">
        <v>57.337285714285699</v>
      </c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</row>
    <row r="142" spans="1:14" ht="15">
      <c r="A142" s="245">
        <v>46997</v>
      </c>
      <c r="B142" s="269">
        <v>53.630760989011016</v>
      </c>
      <c r="C142" s="249"/>
      <c r="D142" s="249"/>
      <c r="E142" s="249"/>
      <c r="F142" s="249"/>
      <c r="G142" s="249"/>
      <c r="H142" s="249"/>
      <c r="I142" s="249"/>
      <c r="J142" s="249"/>
      <c r="K142" s="249"/>
      <c r="L142" s="249"/>
      <c r="M142" s="249"/>
      <c r="N142" s="249"/>
    </row>
    <row r="143" spans="1:14" ht="15">
      <c r="A143" s="245">
        <v>47027</v>
      </c>
      <c r="B143" s="269">
        <v>52.21545329670333</v>
      </c>
      <c r="C143" s="249"/>
      <c r="D143" s="249"/>
      <c r="E143" s="249"/>
      <c r="F143" s="249"/>
      <c r="G143" s="249"/>
      <c r="H143" s="249"/>
      <c r="I143" s="249"/>
      <c r="J143" s="249"/>
      <c r="K143" s="249"/>
      <c r="L143" s="249"/>
      <c r="M143" s="249"/>
      <c r="N143" s="249"/>
    </row>
    <row r="144" spans="1:14" ht="15">
      <c r="A144" s="245">
        <v>47058</v>
      </c>
      <c r="B144" s="269">
        <v>47.162357142857125</v>
      </c>
      <c r="C144" s="249"/>
      <c r="D144" s="249"/>
      <c r="E144" s="249"/>
      <c r="F144" s="249"/>
      <c r="G144" s="249"/>
      <c r="H144" s="249"/>
      <c r="I144" s="249"/>
      <c r="J144" s="249"/>
      <c r="K144" s="249"/>
      <c r="L144" s="249"/>
      <c r="M144" s="249"/>
      <c r="N144" s="249"/>
    </row>
    <row r="145" spans="1:14" ht="15">
      <c r="A145" s="245">
        <v>47088</v>
      </c>
      <c r="B145" s="269">
        <v>56.230857142857197</v>
      </c>
      <c r="C145" s="249"/>
      <c r="D145" s="249"/>
      <c r="E145" s="249"/>
      <c r="F145" s="249"/>
      <c r="G145" s="249"/>
      <c r="H145" s="249"/>
      <c r="I145" s="249"/>
      <c r="J145" s="249"/>
      <c r="K145" s="249"/>
      <c r="L145" s="249"/>
      <c r="M145" s="249"/>
      <c r="N145" s="249"/>
    </row>
    <row r="146" spans="1:14" ht="15">
      <c r="A146" s="245">
        <v>47119</v>
      </c>
      <c r="B146" s="269">
        <v>57.040999999999976</v>
      </c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</row>
    <row r="147" spans="1:14" ht="15">
      <c r="A147" s="245">
        <v>47150</v>
      </c>
      <c r="B147" s="269">
        <v>77.562642857142748</v>
      </c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</row>
    <row r="148" spans="1:14" ht="15">
      <c r="A148" s="245">
        <v>47178</v>
      </c>
      <c r="B148" s="269">
        <v>56.75728571428553</v>
      </c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</row>
    <row r="149" spans="1:14" ht="15">
      <c r="A149" s="245">
        <v>47209</v>
      </c>
      <c r="B149" s="269">
        <v>58.016714285714237</v>
      </c>
      <c r="C149" s="249"/>
      <c r="D149" s="249"/>
      <c r="E149" s="249"/>
      <c r="F149" s="249"/>
      <c r="G149" s="249"/>
      <c r="H149" s="249"/>
      <c r="I149" s="249"/>
      <c r="J149" s="249"/>
      <c r="K149" s="249"/>
      <c r="L149" s="249"/>
      <c r="M149" s="249"/>
      <c r="N149" s="249"/>
    </row>
    <row r="150" spans="1:14" ht="15">
      <c r="A150" s="245">
        <v>47239</v>
      </c>
      <c r="B150" s="269">
        <v>45.095642857142906</v>
      </c>
      <c r="C150" s="249"/>
      <c r="D150" s="249"/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</row>
    <row r="151" spans="1:14" ht="15">
      <c r="A151" s="245">
        <v>47270</v>
      </c>
      <c r="B151" s="269">
        <v>60.096642857142797</v>
      </c>
      <c r="C151" s="249"/>
      <c r="D151" s="249"/>
      <c r="E151" s="249"/>
      <c r="F151" s="249"/>
      <c r="G151" s="249"/>
      <c r="H151" s="249"/>
      <c r="I151" s="249"/>
      <c r="J151" s="249"/>
      <c r="K151" s="249"/>
      <c r="L151" s="249"/>
      <c r="M151" s="249"/>
      <c r="N151" s="249"/>
    </row>
    <row r="152" spans="1:14" ht="15">
      <c r="A152" s="245">
        <v>47300</v>
      </c>
      <c r="B152" s="269">
        <v>59.519357142857217</v>
      </c>
      <c r="C152" s="249"/>
      <c r="D152" s="249"/>
      <c r="E152" s="249"/>
      <c r="F152" s="249"/>
      <c r="G152" s="249"/>
      <c r="H152" s="249"/>
      <c r="I152" s="249"/>
      <c r="J152" s="249"/>
      <c r="K152" s="249"/>
      <c r="L152" s="249"/>
      <c r="M152" s="249"/>
      <c r="N152" s="249"/>
    </row>
    <row r="153" spans="1:14" ht="15">
      <c r="A153" s="245">
        <v>47331</v>
      </c>
      <c r="B153" s="269">
        <v>57.337285714285642</v>
      </c>
      <c r="C153" s="249"/>
      <c r="D153" s="249"/>
      <c r="E153" s="249"/>
      <c r="F153" s="249"/>
      <c r="G153" s="249"/>
      <c r="H153" s="249"/>
      <c r="I153" s="249"/>
      <c r="J153" s="249"/>
      <c r="K153" s="249"/>
      <c r="L153" s="249"/>
      <c r="M153" s="249"/>
      <c r="N153" s="249"/>
    </row>
    <row r="154" spans="1:14" ht="15">
      <c r="A154" s="245">
        <v>47362</v>
      </c>
      <c r="B154" s="269">
        <v>53.63076098901103</v>
      </c>
      <c r="C154" s="249"/>
      <c r="D154" s="249"/>
      <c r="E154" s="249"/>
      <c r="F154" s="249"/>
      <c r="G154" s="249"/>
      <c r="H154" s="249"/>
      <c r="I154" s="249"/>
      <c r="J154" s="249"/>
      <c r="K154" s="249"/>
      <c r="L154" s="249"/>
      <c r="M154" s="249"/>
      <c r="N154" s="249"/>
    </row>
    <row r="155" spans="1:14" ht="15">
      <c r="A155" s="245">
        <v>47392</v>
      </c>
      <c r="B155" s="269">
        <v>52.215453296703288</v>
      </c>
      <c r="C155" s="249"/>
      <c r="D155" s="249"/>
      <c r="E155" s="249"/>
      <c r="F155" s="249"/>
      <c r="G155" s="249"/>
      <c r="H155" s="249"/>
      <c r="I155" s="249"/>
      <c r="J155" s="249"/>
      <c r="K155" s="249"/>
      <c r="L155" s="249"/>
      <c r="M155" s="249"/>
      <c r="N155" s="249"/>
    </row>
    <row r="156" spans="1:14" ht="15">
      <c r="A156" s="245">
        <v>47423</v>
      </c>
      <c r="B156" s="269">
        <v>47.162357142857196</v>
      </c>
      <c r="C156" s="249"/>
      <c r="D156" s="249"/>
      <c r="E156" s="249"/>
      <c r="F156" s="249"/>
      <c r="G156" s="249"/>
      <c r="H156" s="249"/>
      <c r="I156" s="249"/>
      <c r="J156" s="249"/>
      <c r="K156" s="249"/>
      <c r="L156" s="249"/>
      <c r="M156" s="249"/>
      <c r="N156" s="249"/>
    </row>
    <row r="157" spans="1:14" ht="15">
      <c r="A157" s="245">
        <v>47453</v>
      </c>
      <c r="B157" s="269">
        <v>56.230857142857133</v>
      </c>
      <c r="C157" s="249"/>
      <c r="D157" s="249"/>
      <c r="E157" s="249"/>
      <c r="F157" s="249"/>
      <c r="G157" s="249"/>
      <c r="H157" s="249"/>
      <c r="I157" s="249"/>
      <c r="J157" s="249"/>
      <c r="K157" s="249"/>
      <c r="L157" s="249"/>
      <c r="M157" s="249"/>
      <c r="N157" s="249"/>
    </row>
    <row r="158" spans="1:14" ht="15">
      <c r="A158" s="245">
        <v>47484</v>
      </c>
      <c r="B158" s="269">
        <v>57.040999999999961</v>
      </c>
      <c r="C158" s="249"/>
      <c r="D158" s="249"/>
      <c r="E158" s="249"/>
      <c r="F158" s="249"/>
      <c r="G158" s="249"/>
      <c r="H158" s="249"/>
      <c r="I158" s="249"/>
      <c r="J158" s="249"/>
      <c r="K158" s="249"/>
      <c r="L158" s="249"/>
      <c r="M158" s="249"/>
      <c r="N158" s="249"/>
    </row>
    <row r="159" spans="1:14" ht="15">
      <c r="A159" s="245">
        <v>47515</v>
      </c>
      <c r="B159" s="269">
        <v>77.562642857142805</v>
      </c>
      <c r="C159" s="249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249"/>
    </row>
    <row r="160" spans="1:14" ht="15">
      <c r="A160" s="245">
        <v>47543</v>
      </c>
      <c r="B160" s="269">
        <v>56.757285714285736</v>
      </c>
      <c r="C160" s="249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</row>
    <row r="161" spans="1:14" ht="15">
      <c r="A161" s="245">
        <v>47574</v>
      </c>
      <c r="B161" s="269">
        <v>58.016714285714244</v>
      </c>
      <c r="C161" s="249"/>
      <c r="D161" s="249"/>
      <c r="E161" s="249"/>
      <c r="F161" s="249"/>
      <c r="G161" s="249"/>
      <c r="H161" s="249"/>
      <c r="I161" s="249"/>
      <c r="J161" s="249"/>
      <c r="K161" s="249"/>
      <c r="L161" s="249"/>
      <c r="M161" s="249"/>
      <c r="N161" s="249"/>
    </row>
    <row r="162" spans="1:14" ht="15">
      <c r="A162" s="245">
        <v>47604</v>
      </c>
      <c r="B162" s="269">
        <v>45.095642857142735</v>
      </c>
      <c r="C162" s="249"/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249"/>
    </row>
    <row r="163" spans="1:14" ht="15">
      <c r="A163" s="245">
        <v>47635</v>
      </c>
      <c r="B163" s="269">
        <v>60.096642857142726</v>
      </c>
      <c r="C163" s="249"/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249"/>
    </row>
    <row r="164" spans="1:14" ht="15">
      <c r="A164" s="245">
        <v>47665</v>
      </c>
      <c r="B164" s="269">
        <v>59.519357142857196</v>
      </c>
      <c r="C164" s="249"/>
      <c r="D164" s="249"/>
      <c r="E164" s="249"/>
      <c r="F164" s="249"/>
      <c r="G164" s="249"/>
      <c r="H164" s="249"/>
      <c r="I164" s="249"/>
      <c r="J164" s="249"/>
      <c r="K164" s="249"/>
      <c r="L164" s="249"/>
      <c r="M164" s="249"/>
      <c r="N164" s="249"/>
    </row>
    <row r="165" spans="1:14" ht="15">
      <c r="A165" s="245">
        <v>47696</v>
      </c>
      <c r="B165" s="269">
        <v>57.337285714285663</v>
      </c>
      <c r="C165" s="249"/>
      <c r="D165" s="249"/>
      <c r="E165" s="249"/>
      <c r="F165" s="249"/>
      <c r="G165" s="249"/>
      <c r="H165" s="249"/>
      <c r="I165" s="249"/>
      <c r="J165" s="249"/>
      <c r="K165" s="249"/>
      <c r="L165" s="249"/>
      <c r="M165" s="249"/>
      <c r="N165" s="249"/>
    </row>
    <row r="166" spans="1:14" ht="15">
      <c r="A166" s="245">
        <v>47727</v>
      </c>
      <c r="B166" s="269">
        <v>53.630760989010867</v>
      </c>
      <c r="C166" s="249"/>
      <c r="D166" s="249"/>
      <c r="E166" s="249"/>
      <c r="F166" s="249"/>
      <c r="G166" s="249"/>
      <c r="H166" s="249"/>
      <c r="I166" s="249"/>
      <c r="J166" s="249"/>
      <c r="K166" s="249"/>
      <c r="L166" s="249"/>
      <c r="M166" s="249"/>
      <c r="N166" s="249"/>
    </row>
    <row r="167" spans="1:14" ht="15">
      <c r="A167" s="245">
        <v>47757</v>
      </c>
      <c r="B167" s="269">
        <v>52.215453296703245</v>
      </c>
      <c r="C167" s="249"/>
      <c r="D167" s="249"/>
      <c r="E167" s="249"/>
      <c r="F167" s="249"/>
      <c r="G167" s="249"/>
      <c r="H167" s="249"/>
      <c r="I167" s="249"/>
      <c r="J167" s="249"/>
      <c r="K167" s="249"/>
      <c r="L167" s="249"/>
      <c r="M167" s="249"/>
      <c r="N167" s="249"/>
    </row>
    <row r="168" spans="1:14" ht="15">
      <c r="A168" s="245">
        <v>47788</v>
      </c>
      <c r="B168" s="269">
        <v>47.162357142857118</v>
      </c>
      <c r="C168" s="249"/>
      <c r="D168" s="249"/>
      <c r="E168" s="249"/>
      <c r="F168" s="249"/>
      <c r="G168" s="249"/>
      <c r="H168" s="249"/>
      <c r="I168" s="249"/>
      <c r="J168" s="249"/>
      <c r="K168" s="249"/>
      <c r="L168" s="249"/>
      <c r="M168" s="249"/>
      <c r="N168" s="249"/>
    </row>
    <row r="169" spans="1:14" ht="15">
      <c r="A169" s="245">
        <v>47818</v>
      </c>
      <c r="B169" s="269">
        <v>56.230857142857218</v>
      </c>
      <c r="C169" s="249"/>
      <c r="D169" s="249"/>
      <c r="E169" s="249"/>
      <c r="F169" s="249"/>
      <c r="G169" s="249"/>
      <c r="H169" s="249"/>
      <c r="I169" s="249"/>
      <c r="J169" s="249"/>
      <c r="K169" s="249"/>
      <c r="L169" s="249"/>
      <c r="M169" s="249"/>
      <c r="N169" s="249"/>
    </row>
    <row r="170" spans="1:14" ht="15">
      <c r="A170" s="245">
        <v>47849</v>
      </c>
      <c r="B170" s="269">
        <v>57.040999999999919</v>
      </c>
    </row>
    <row r="171" spans="1:14" ht="15">
      <c r="A171" s="245">
        <v>47880</v>
      </c>
      <c r="B171" s="269">
        <v>77.562642857142833</v>
      </c>
    </row>
    <row r="172" spans="1:14" ht="15">
      <c r="A172" s="245">
        <v>47908</v>
      </c>
      <c r="B172" s="269">
        <v>56.757285714285636</v>
      </c>
    </row>
    <row r="173" spans="1:14" ht="15">
      <c r="A173" s="245">
        <v>47939</v>
      </c>
      <c r="B173" s="269">
        <v>58.01671428571423</v>
      </c>
    </row>
    <row r="174" spans="1:14" ht="15">
      <c r="A174" s="245">
        <v>47969</v>
      </c>
      <c r="B174" s="269">
        <v>45.095642857142849</v>
      </c>
    </row>
    <row r="175" spans="1:14" ht="15">
      <c r="A175" s="245">
        <v>48000</v>
      </c>
      <c r="B175" s="269">
        <v>60.096642857142911</v>
      </c>
    </row>
    <row r="176" spans="1:14" ht="15">
      <c r="A176" s="245">
        <v>48030</v>
      </c>
      <c r="B176" s="269">
        <v>59.51935714285711</v>
      </c>
    </row>
    <row r="177" spans="1:2" ht="15">
      <c r="A177" s="245">
        <v>48061</v>
      </c>
      <c r="B177" s="269">
        <v>57.337285714285692</v>
      </c>
    </row>
    <row r="178" spans="1:2" ht="15">
      <c r="A178" s="245">
        <v>48092</v>
      </c>
      <c r="B178" s="269">
        <v>53.630760989010973</v>
      </c>
    </row>
    <row r="179" spans="1:2" ht="15">
      <c r="A179" s="245">
        <v>48122</v>
      </c>
      <c r="B179" s="269">
        <v>52.215453296703203</v>
      </c>
    </row>
    <row r="180" spans="1:2" ht="15">
      <c r="A180" s="245">
        <v>48153</v>
      </c>
      <c r="B180" s="269">
        <v>47.162357142857097</v>
      </c>
    </row>
    <row r="181" spans="1:2" ht="15">
      <c r="A181" s="245">
        <v>48183</v>
      </c>
      <c r="B181" s="269">
        <v>56.230857142857097</v>
      </c>
    </row>
    <row r="182" spans="1:2" ht="15">
      <c r="A182" s="245">
        <v>48214</v>
      </c>
      <c r="B182" s="269">
        <v>57.041000000000082</v>
      </c>
    </row>
    <row r="183" spans="1:2" ht="15">
      <c r="A183" s="245">
        <v>48245</v>
      </c>
      <c r="B183" s="269">
        <v>77.562642857143004</v>
      </c>
    </row>
    <row r="184" spans="1:2" ht="15">
      <c r="A184" s="245">
        <v>48274</v>
      </c>
      <c r="B184" s="269">
        <v>56.757285714285757</v>
      </c>
    </row>
    <row r="185" spans="1:2" ht="15">
      <c r="A185" s="245">
        <v>48305</v>
      </c>
      <c r="B185" s="269">
        <v>58.01671428571418</v>
      </c>
    </row>
    <row r="186" spans="1:2" ht="15">
      <c r="A186" s="245">
        <v>48335</v>
      </c>
      <c r="B186" s="269">
        <v>45.095642857142821</v>
      </c>
    </row>
    <row r="187" spans="1:2" ht="15">
      <c r="A187" s="245">
        <v>48366</v>
      </c>
      <c r="B187" s="269">
        <v>60.096642857142804</v>
      </c>
    </row>
    <row r="188" spans="1:2" ht="15">
      <c r="A188" s="245">
        <v>48396</v>
      </c>
      <c r="B188" s="269">
        <v>59.519357142857224</v>
      </c>
    </row>
    <row r="189" spans="1:2" ht="15">
      <c r="A189" s="245">
        <v>48427</v>
      </c>
      <c r="B189" s="269">
        <v>57.337285714285713</v>
      </c>
    </row>
    <row r="190" spans="1:2" ht="15">
      <c r="A190" s="245">
        <v>48458</v>
      </c>
      <c r="B190" s="269">
        <v>53.630760989011002</v>
      </c>
    </row>
    <row r="191" spans="1:2" ht="15">
      <c r="A191" s="245">
        <v>48488</v>
      </c>
      <c r="B191" s="269">
        <v>52.215453296703224</v>
      </c>
    </row>
    <row r="192" spans="1:2" ht="15">
      <c r="A192" s="245">
        <v>48519</v>
      </c>
      <c r="B192" s="269">
        <v>47.162357142857147</v>
      </c>
    </row>
    <row r="193" spans="1:2" ht="15">
      <c r="A193" s="245">
        <v>48549</v>
      </c>
      <c r="B193" s="269">
        <v>56.230857142857076</v>
      </c>
    </row>
    <row r="194" spans="1:2" ht="15">
      <c r="A194" s="245">
        <f>EOMONTH(A193,0)+1</f>
        <v>48580</v>
      </c>
      <c r="B194" s="269">
        <v>57.040999999999904</v>
      </c>
    </row>
    <row r="195" spans="1:2" ht="15">
      <c r="A195" s="245">
        <f t="shared" ref="A195:A204" si="20">EOMONTH(A194,0)+1</f>
        <v>48611</v>
      </c>
      <c r="B195" s="269">
        <v>77.562642857142919</v>
      </c>
    </row>
    <row r="196" spans="1:2" ht="15">
      <c r="A196" s="245">
        <f t="shared" si="20"/>
        <v>48639</v>
      </c>
      <c r="B196" s="269">
        <v>56.757285714285672</v>
      </c>
    </row>
    <row r="197" spans="1:2" ht="15">
      <c r="A197" s="245">
        <f t="shared" si="20"/>
        <v>48670</v>
      </c>
      <c r="B197" s="269">
        <v>58.016714285714279</v>
      </c>
    </row>
    <row r="198" spans="1:2" ht="15">
      <c r="A198" s="245">
        <f t="shared" si="20"/>
        <v>48700</v>
      </c>
      <c r="B198" s="269">
        <v>45.095642857142835</v>
      </c>
    </row>
    <row r="199" spans="1:2" ht="15">
      <c r="A199" s="245">
        <f t="shared" si="20"/>
        <v>48731</v>
      </c>
      <c r="B199" s="269">
        <v>60.096642857142946</v>
      </c>
    </row>
    <row r="200" spans="1:2" ht="15">
      <c r="A200" s="245">
        <f t="shared" si="20"/>
        <v>48761</v>
      </c>
      <c r="B200" s="269">
        <v>59.51935714285726</v>
      </c>
    </row>
    <row r="201" spans="1:2" ht="15">
      <c r="A201" s="245">
        <f t="shared" si="20"/>
        <v>48792</v>
      </c>
      <c r="B201" s="269">
        <v>57.337285714285777</v>
      </c>
    </row>
    <row r="202" spans="1:2" ht="15">
      <c r="A202" s="245">
        <f t="shared" si="20"/>
        <v>48823</v>
      </c>
      <c r="B202" s="269">
        <v>53.63076098901103</v>
      </c>
    </row>
    <row r="203" spans="1:2" ht="15">
      <c r="A203" s="245">
        <f t="shared" si="20"/>
        <v>48853</v>
      </c>
      <c r="B203" s="269">
        <v>52.215453296703224</v>
      </c>
    </row>
    <row r="204" spans="1:2" ht="15">
      <c r="A204" s="245">
        <f t="shared" si="20"/>
        <v>48884</v>
      </c>
      <c r="B204" s="269">
        <v>47.162357142857239</v>
      </c>
    </row>
    <row r="205" spans="1:2" ht="15">
      <c r="A205" s="245">
        <f t="shared" ref="A205" si="21">EOMONTH(A204,0)+1</f>
        <v>48914</v>
      </c>
      <c r="B205" s="269">
        <v>56.230857142857147</v>
      </c>
    </row>
  </sheetData>
  <pageMargins left="0.7" right="0.7" top="1.1041666666666667" bottom="0.75" header="0.3" footer="0.3"/>
  <pageSetup paperSize="119" scale="72" fitToHeight="0" orientation="landscape" r:id="rId1"/>
  <headerFooter>
    <oddHeader xml:space="preserve">&amp;R&amp;"Times New Roman,Bold"PUCO Case No. 24-503-EL-FOR
Source Files
Work Tables
Page &amp;P of &amp;N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E24"/>
  <sheetViews>
    <sheetView showGridLines="0" view="pageLayout" zoomScaleNormal="120" workbookViewId="0">
      <selection activeCell="G10" sqref="G10:J10"/>
    </sheetView>
  </sheetViews>
  <sheetFormatPr defaultColWidth="9.140625" defaultRowHeight="15"/>
  <cols>
    <col min="1" max="1" width="4.7109375" style="121" customWidth="1"/>
    <col min="2" max="2" width="6.7109375" style="121" customWidth="1"/>
    <col min="3" max="54" width="2.7109375" style="121" customWidth="1"/>
    <col min="55" max="16384" width="9.140625" style="121"/>
  </cols>
  <sheetData>
    <row r="1" spans="1:57">
      <c r="A1" s="323" t="s">
        <v>93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D1" s="195" t="s">
        <v>144</v>
      </c>
      <c r="BE1" s="195">
        <v>2024</v>
      </c>
    </row>
    <row r="2" spans="1:57">
      <c r="A2" s="324" t="s">
        <v>20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  <c r="BA2" s="324"/>
      <c r="BB2" s="324"/>
    </row>
    <row r="3" spans="1:57" ht="15.75" thickBot="1">
      <c r="A3" s="138"/>
      <c r="B3" s="139"/>
      <c r="C3" s="139"/>
      <c r="D3" s="139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</row>
    <row r="4" spans="1:57" ht="125.1" customHeight="1">
      <c r="A4" s="183"/>
      <c r="B4" s="184"/>
      <c r="C4" s="162"/>
      <c r="D4" s="325" t="s">
        <v>114</v>
      </c>
      <c r="E4" s="325" t="s">
        <v>115</v>
      </c>
      <c r="F4" s="163"/>
      <c r="G4" s="164"/>
      <c r="H4" s="328" t="s">
        <v>114</v>
      </c>
      <c r="I4" s="328" t="s">
        <v>116</v>
      </c>
      <c r="J4" s="165"/>
      <c r="K4" s="166"/>
      <c r="L4" s="328" t="s">
        <v>85</v>
      </c>
      <c r="M4" s="167"/>
      <c r="N4" s="165"/>
      <c r="O4" s="166"/>
      <c r="P4" s="325" t="s">
        <v>117</v>
      </c>
      <c r="Q4" s="167"/>
      <c r="R4" s="163"/>
      <c r="S4" s="164"/>
      <c r="T4" s="325" t="s">
        <v>117</v>
      </c>
      <c r="U4" s="325" t="s">
        <v>119</v>
      </c>
      <c r="V4" s="163"/>
      <c r="W4" s="164"/>
      <c r="X4" s="328" t="s">
        <v>86</v>
      </c>
      <c r="Y4" s="167"/>
      <c r="Z4" s="165"/>
      <c r="AA4" s="166"/>
      <c r="AB4" s="325" t="s">
        <v>87</v>
      </c>
      <c r="AC4" s="167"/>
      <c r="AD4" s="163"/>
      <c r="AE4" s="164"/>
      <c r="AF4" s="325" t="s">
        <v>120</v>
      </c>
      <c r="AG4" s="325" t="s">
        <v>118</v>
      </c>
      <c r="AH4" s="163"/>
      <c r="AI4" s="164"/>
      <c r="AJ4" s="325" t="s">
        <v>121</v>
      </c>
      <c r="AK4" s="325" t="s">
        <v>119</v>
      </c>
      <c r="AL4" s="163"/>
      <c r="AM4" s="164"/>
      <c r="AN4" s="325" t="s">
        <v>88</v>
      </c>
      <c r="AO4" s="221"/>
      <c r="AP4" s="163"/>
      <c r="AQ4" s="164"/>
      <c r="AR4" s="325" t="s">
        <v>122</v>
      </c>
      <c r="AS4" s="325" t="s">
        <v>123</v>
      </c>
      <c r="AT4" s="163"/>
      <c r="AU4" s="164"/>
      <c r="AV4" s="325" t="s">
        <v>125</v>
      </c>
      <c r="AW4" s="325" t="s">
        <v>126</v>
      </c>
      <c r="AX4" s="163"/>
      <c r="AY4" s="164"/>
      <c r="AZ4" s="325" t="s">
        <v>125</v>
      </c>
      <c r="BA4" s="325" t="s">
        <v>116</v>
      </c>
      <c r="BB4" s="168"/>
    </row>
    <row r="5" spans="1:57" ht="30" customHeight="1">
      <c r="A5" s="185"/>
      <c r="B5" s="182" t="s">
        <v>89</v>
      </c>
      <c r="C5" s="179" t="s">
        <v>101</v>
      </c>
      <c r="D5" s="326"/>
      <c r="E5" s="326"/>
      <c r="F5" s="141"/>
      <c r="G5" s="144" t="s">
        <v>102</v>
      </c>
      <c r="H5" s="329"/>
      <c r="I5" s="329"/>
      <c r="J5" s="145"/>
      <c r="K5" s="144" t="s">
        <v>103</v>
      </c>
      <c r="L5" s="329"/>
      <c r="M5" s="137"/>
      <c r="N5" s="148" t="s">
        <v>90</v>
      </c>
      <c r="O5" s="150" t="s">
        <v>104</v>
      </c>
      <c r="P5" s="326"/>
      <c r="Q5" s="137"/>
      <c r="R5" s="141"/>
      <c r="S5" s="144" t="s">
        <v>105</v>
      </c>
      <c r="T5" s="326"/>
      <c r="U5" s="326"/>
      <c r="V5" s="141"/>
      <c r="W5" s="144" t="s">
        <v>106</v>
      </c>
      <c r="X5" s="329"/>
      <c r="Y5" s="153"/>
      <c r="Z5" s="148" t="s">
        <v>91</v>
      </c>
      <c r="AA5" s="150" t="s">
        <v>107</v>
      </c>
      <c r="AB5" s="326"/>
      <c r="AC5" s="137"/>
      <c r="AD5" s="151" t="s">
        <v>92</v>
      </c>
      <c r="AE5" s="144" t="s">
        <v>108</v>
      </c>
      <c r="AF5" s="326"/>
      <c r="AG5" s="326"/>
      <c r="AH5" s="141"/>
      <c r="AI5" s="144" t="s">
        <v>109</v>
      </c>
      <c r="AJ5" s="326"/>
      <c r="AK5" s="326"/>
      <c r="AL5" s="141"/>
      <c r="AM5" s="144" t="s">
        <v>110</v>
      </c>
      <c r="AN5" s="326"/>
      <c r="AO5" s="222"/>
      <c r="AP5" s="151" t="s">
        <v>111</v>
      </c>
      <c r="AQ5" s="144" t="s">
        <v>112</v>
      </c>
      <c r="AR5" s="326"/>
      <c r="AS5" s="326"/>
      <c r="AT5" s="151" t="s">
        <v>113</v>
      </c>
      <c r="AU5" s="144" t="s">
        <v>124</v>
      </c>
      <c r="AV5" s="326"/>
      <c r="AW5" s="326"/>
      <c r="AX5" s="141"/>
      <c r="AY5" s="144" t="s">
        <v>127</v>
      </c>
      <c r="AZ5" s="326"/>
      <c r="BA5" s="326"/>
      <c r="BB5" s="169" t="s">
        <v>128</v>
      </c>
    </row>
    <row r="6" spans="1:57" ht="125.1" customHeight="1">
      <c r="A6" s="186"/>
      <c r="B6" s="182" t="s">
        <v>100</v>
      </c>
      <c r="C6" s="142"/>
      <c r="D6" s="327"/>
      <c r="E6" s="327"/>
      <c r="F6" s="143"/>
      <c r="G6" s="146"/>
      <c r="H6" s="330"/>
      <c r="I6" s="330"/>
      <c r="J6" s="147"/>
      <c r="K6" s="149"/>
      <c r="L6" s="330"/>
      <c r="M6" s="155"/>
      <c r="N6" s="147"/>
      <c r="O6" s="149"/>
      <c r="P6" s="327"/>
      <c r="Q6" s="152" t="s">
        <v>118</v>
      </c>
      <c r="R6" s="143"/>
      <c r="S6" s="146"/>
      <c r="T6" s="327"/>
      <c r="U6" s="327"/>
      <c r="V6" s="143"/>
      <c r="W6" s="146"/>
      <c r="X6" s="330"/>
      <c r="Y6" s="154"/>
      <c r="Z6" s="147"/>
      <c r="AA6" s="149"/>
      <c r="AB6" s="327"/>
      <c r="AC6" s="155"/>
      <c r="AD6" s="143"/>
      <c r="AE6" s="146"/>
      <c r="AF6" s="327"/>
      <c r="AG6" s="327"/>
      <c r="AH6" s="143"/>
      <c r="AI6" s="146"/>
      <c r="AJ6" s="327"/>
      <c r="AK6" s="327"/>
      <c r="AL6" s="143"/>
      <c r="AM6" s="146"/>
      <c r="AN6" s="327"/>
      <c r="AO6" s="223"/>
      <c r="AP6" s="143"/>
      <c r="AQ6" s="146"/>
      <c r="AR6" s="327"/>
      <c r="AS6" s="327"/>
      <c r="AT6" s="143"/>
      <c r="AU6" s="146"/>
      <c r="AV6" s="327"/>
      <c r="AW6" s="327"/>
      <c r="AX6" s="143"/>
      <c r="AY6" s="146"/>
      <c r="AZ6" s="327"/>
      <c r="BA6" s="327"/>
      <c r="BB6" s="170"/>
    </row>
    <row r="7" spans="1:57" ht="15" customHeight="1">
      <c r="A7" s="187">
        <v>-5</v>
      </c>
      <c r="B7" s="181">
        <f t="shared" ref="B7:B11" si="0">$BE$1+A7</f>
        <v>2019</v>
      </c>
      <c r="C7" s="331">
        <v>15436683</v>
      </c>
      <c r="D7" s="332"/>
      <c r="E7" s="332"/>
      <c r="F7" s="333"/>
      <c r="G7" s="331">
        <v>3314081</v>
      </c>
      <c r="H7" s="332"/>
      <c r="I7" s="332"/>
      <c r="J7" s="333"/>
      <c r="K7" s="331">
        <v>18750764</v>
      </c>
      <c r="L7" s="332"/>
      <c r="M7" s="332"/>
      <c r="N7" s="333"/>
      <c r="O7" s="331">
        <v>20743972</v>
      </c>
      <c r="P7" s="332"/>
      <c r="Q7" s="332"/>
      <c r="R7" s="333"/>
      <c r="S7" s="331">
        <v>625786</v>
      </c>
      <c r="T7" s="332"/>
      <c r="U7" s="332"/>
      <c r="V7" s="333"/>
      <c r="W7" s="331">
        <v>21369758</v>
      </c>
      <c r="X7" s="332"/>
      <c r="Y7" s="332"/>
      <c r="Z7" s="333"/>
      <c r="AA7" s="331">
        <v>40120522</v>
      </c>
      <c r="AB7" s="332"/>
      <c r="AC7" s="332"/>
      <c r="AD7" s="333"/>
      <c r="AE7" s="331">
        <v>12167726</v>
      </c>
      <c r="AF7" s="332"/>
      <c r="AG7" s="332"/>
      <c r="AH7" s="333"/>
      <c r="AI7" s="331">
        <v>781684</v>
      </c>
      <c r="AJ7" s="332"/>
      <c r="AK7" s="332"/>
      <c r="AL7" s="333"/>
      <c r="AM7" s="331">
        <v>12949410</v>
      </c>
      <c r="AN7" s="332"/>
      <c r="AO7" s="332"/>
      <c r="AP7" s="333"/>
      <c r="AQ7" s="335">
        <v>27171113</v>
      </c>
      <c r="AR7" s="336"/>
      <c r="AS7" s="336"/>
      <c r="AT7" s="337"/>
      <c r="AU7" s="312">
        <v>22680773</v>
      </c>
      <c r="AV7" s="313"/>
      <c r="AW7" s="313"/>
      <c r="AX7" s="334"/>
      <c r="AY7" s="312">
        <v>4490340</v>
      </c>
      <c r="AZ7" s="313"/>
      <c r="BA7" s="313"/>
      <c r="BB7" s="314"/>
    </row>
    <row r="8" spans="1:57">
      <c r="A8" s="187">
        <v>-4</v>
      </c>
      <c r="B8" s="181">
        <f t="shared" si="0"/>
        <v>2020</v>
      </c>
      <c r="C8" s="331">
        <v>16652343</v>
      </c>
      <c r="D8" s="332"/>
      <c r="E8" s="332"/>
      <c r="F8" s="333"/>
      <c r="G8" s="331">
        <v>2335340</v>
      </c>
      <c r="H8" s="332"/>
      <c r="I8" s="332"/>
      <c r="J8" s="333"/>
      <c r="K8" s="331">
        <v>18987683</v>
      </c>
      <c r="L8" s="332"/>
      <c r="M8" s="332"/>
      <c r="N8" s="333"/>
      <c r="O8" s="331">
        <v>18231523</v>
      </c>
      <c r="P8" s="332"/>
      <c r="Q8" s="332"/>
      <c r="R8" s="333"/>
      <c r="S8" s="331">
        <v>886373</v>
      </c>
      <c r="T8" s="332"/>
      <c r="U8" s="332"/>
      <c r="V8" s="333"/>
      <c r="W8" s="331">
        <v>19117896</v>
      </c>
      <c r="X8" s="332"/>
      <c r="Y8" s="332"/>
      <c r="Z8" s="333"/>
      <c r="AA8" s="331">
        <v>38105579</v>
      </c>
      <c r="AB8" s="332"/>
      <c r="AC8" s="332"/>
      <c r="AD8" s="333"/>
      <c r="AE8" s="331">
        <v>10164544</v>
      </c>
      <c r="AF8" s="332"/>
      <c r="AG8" s="332"/>
      <c r="AH8" s="333"/>
      <c r="AI8" s="331">
        <v>185088</v>
      </c>
      <c r="AJ8" s="332"/>
      <c r="AK8" s="332"/>
      <c r="AL8" s="333"/>
      <c r="AM8" s="331">
        <v>10349632</v>
      </c>
      <c r="AN8" s="332"/>
      <c r="AO8" s="332"/>
      <c r="AP8" s="333"/>
      <c r="AQ8" s="335">
        <v>27755947</v>
      </c>
      <c r="AR8" s="336"/>
      <c r="AS8" s="336"/>
      <c r="AT8" s="337"/>
      <c r="AU8" s="312">
        <v>23630200</v>
      </c>
      <c r="AV8" s="313"/>
      <c r="AW8" s="313"/>
      <c r="AX8" s="334"/>
      <c r="AY8" s="312">
        <v>4125747</v>
      </c>
      <c r="AZ8" s="313"/>
      <c r="BA8" s="313"/>
      <c r="BB8" s="314"/>
      <c r="BE8" s="121" t="s">
        <v>205</v>
      </c>
    </row>
    <row r="9" spans="1:57" s="122" customFormat="1">
      <c r="A9" s="187">
        <v>-3</v>
      </c>
      <c r="B9" s="181">
        <f t="shared" si="0"/>
        <v>2021</v>
      </c>
      <c r="C9" s="331">
        <v>15532884</v>
      </c>
      <c r="D9" s="332"/>
      <c r="E9" s="332"/>
      <c r="F9" s="333"/>
      <c r="G9" s="331">
        <v>2611854</v>
      </c>
      <c r="H9" s="332"/>
      <c r="I9" s="332"/>
      <c r="J9" s="333"/>
      <c r="K9" s="331">
        <v>18144738</v>
      </c>
      <c r="L9" s="332"/>
      <c r="M9" s="332"/>
      <c r="N9" s="333"/>
      <c r="O9" s="331">
        <v>18717426</v>
      </c>
      <c r="P9" s="332"/>
      <c r="Q9" s="332"/>
      <c r="R9" s="333"/>
      <c r="S9" s="331">
        <v>1379262</v>
      </c>
      <c r="T9" s="332"/>
      <c r="U9" s="332"/>
      <c r="V9" s="333"/>
      <c r="W9" s="331">
        <v>20096688</v>
      </c>
      <c r="X9" s="332"/>
      <c r="Y9" s="332"/>
      <c r="Z9" s="333"/>
      <c r="AA9" s="331">
        <v>38241426</v>
      </c>
      <c r="AB9" s="332"/>
      <c r="AC9" s="332"/>
      <c r="AD9" s="333"/>
      <c r="AE9" s="331">
        <v>9963870</v>
      </c>
      <c r="AF9" s="332"/>
      <c r="AG9" s="332"/>
      <c r="AH9" s="333"/>
      <c r="AI9" s="331">
        <v>102666</v>
      </c>
      <c r="AJ9" s="332"/>
      <c r="AK9" s="332"/>
      <c r="AL9" s="333"/>
      <c r="AM9" s="331">
        <v>10066536</v>
      </c>
      <c r="AN9" s="332"/>
      <c r="AO9" s="332"/>
      <c r="AP9" s="333"/>
      <c r="AQ9" s="335">
        <v>28174890</v>
      </c>
      <c r="AR9" s="336"/>
      <c r="AS9" s="336"/>
      <c r="AT9" s="337"/>
      <c r="AU9" s="312">
        <v>23963471</v>
      </c>
      <c r="AV9" s="313"/>
      <c r="AW9" s="313"/>
      <c r="AX9" s="334"/>
      <c r="AY9" s="312">
        <v>4211419</v>
      </c>
      <c r="AZ9" s="313"/>
      <c r="BA9" s="313"/>
      <c r="BB9" s="314"/>
      <c r="BC9" s="121"/>
    </row>
    <row r="10" spans="1:57">
      <c r="A10" s="187">
        <v>-2</v>
      </c>
      <c r="B10" s="181">
        <f t="shared" si="0"/>
        <v>2022</v>
      </c>
      <c r="C10" s="331">
        <v>14401076</v>
      </c>
      <c r="D10" s="332"/>
      <c r="E10" s="332"/>
      <c r="F10" s="333"/>
      <c r="G10" s="331">
        <v>2889810</v>
      </c>
      <c r="H10" s="332"/>
      <c r="I10" s="332"/>
      <c r="J10" s="333"/>
      <c r="K10" s="331">
        <v>17290886</v>
      </c>
      <c r="L10" s="332"/>
      <c r="M10" s="332"/>
      <c r="N10" s="333"/>
      <c r="O10" s="331">
        <v>20465901</v>
      </c>
      <c r="P10" s="332"/>
      <c r="Q10" s="332"/>
      <c r="R10" s="333"/>
      <c r="S10" s="331">
        <v>1166544</v>
      </c>
      <c r="T10" s="332"/>
      <c r="U10" s="332"/>
      <c r="V10" s="333"/>
      <c r="W10" s="331">
        <v>21632445</v>
      </c>
      <c r="X10" s="332"/>
      <c r="Y10" s="332"/>
      <c r="Z10" s="333"/>
      <c r="AA10" s="331">
        <v>38923332</v>
      </c>
      <c r="AB10" s="332"/>
      <c r="AC10" s="332"/>
      <c r="AD10" s="333"/>
      <c r="AE10" s="331">
        <v>10753091</v>
      </c>
      <c r="AF10" s="332"/>
      <c r="AG10" s="332"/>
      <c r="AH10" s="333"/>
      <c r="AI10" s="331">
        <v>175684</v>
      </c>
      <c r="AJ10" s="332"/>
      <c r="AK10" s="332"/>
      <c r="AL10" s="333"/>
      <c r="AM10" s="331">
        <v>10928775</v>
      </c>
      <c r="AN10" s="332"/>
      <c r="AO10" s="332"/>
      <c r="AP10" s="333"/>
      <c r="AQ10" s="335">
        <v>27994557</v>
      </c>
      <c r="AR10" s="336"/>
      <c r="AS10" s="336"/>
      <c r="AT10" s="337"/>
      <c r="AU10" s="312">
        <v>23697697</v>
      </c>
      <c r="AV10" s="313"/>
      <c r="AW10" s="313"/>
      <c r="AX10" s="334"/>
      <c r="AY10" s="312">
        <v>4296860</v>
      </c>
      <c r="AZ10" s="313"/>
      <c r="BA10" s="313"/>
      <c r="BB10" s="314"/>
    </row>
    <row r="11" spans="1:57">
      <c r="A11" s="187">
        <v>-1</v>
      </c>
      <c r="B11" s="181">
        <f t="shared" si="0"/>
        <v>2023</v>
      </c>
      <c r="C11" s="345">
        <v>8366347</v>
      </c>
      <c r="D11" s="346"/>
      <c r="E11" s="346"/>
      <c r="F11" s="347"/>
      <c r="G11" s="345">
        <v>2415624</v>
      </c>
      <c r="H11" s="346"/>
      <c r="I11" s="346"/>
      <c r="J11" s="347"/>
      <c r="K11" s="345">
        <v>10781971</v>
      </c>
      <c r="L11" s="346"/>
      <c r="M11" s="346"/>
      <c r="N11" s="347"/>
      <c r="O11" s="345">
        <v>21878667</v>
      </c>
      <c r="P11" s="346"/>
      <c r="Q11" s="346"/>
      <c r="R11" s="347"/>
      <c r="S11" s="345">
        <v>1868537</v>
      </c>
      <c r="T11" s="346"/>
      <c r="U11" s="346"/>
      <c r="V11" s="347"/>
      <c r="W11" s="345">
        <v>23747204</v>
      </c>
      <c r="X11" s="346"/>
      <c r="Y11" s="346"/>
      <c r="Z11" s="347"/>
      <c r="AA11" s="345">
        <v>34529176</v>
      </c>
      <c r="AB11" s="346"/>
      <c r="AC11" s="346"/>
      <c r="AD11" s="347"/>
      <c r="AE11" s="345">
        <v>8390546</v>
      </c>
      <c r="AF11" s="346"/>
      <c r="AG11" s="346"/>
      <c r="AH11" s="347"/>
      <c r="AI11" s="345">
        <v>72079</v>
      </c>
      <c r="AJ11" s="346"/>
      <c r="AK11" s="346"/>
      <c r="AL11" s="347"/>
      <c r="AM11" s="345">
        <v>8462625</v>
      </c>
      <c r="AN11" s="346"/>
      <c r="AO11" s="346"/>
      <c r="AP11" s="347"/>
      <c r="AQ11" s="320">
        <v>26066551</v>
      </c>
      <c r="AR11" s="321"/>
      <c r="AS11" s="321"/>
      <c r="AT11" s="322"/>
      <c r="AU11" s="315">
        <v>21769690</v>
      </c>
      <c r="AV11" s="316"/>
      <c r="AW11" s="316"/>
      <c r="AX11" s="319"/>
      <c r="AY11" s="315">
        <v>4296860</v>
      </c>
      <c r="AZ11" s="316"/>
      <c r="BA11" s="316"/>
      <c r="BB11" s="317"/>
    </row>
    <row r="12" spans="1:57">
      <c r="A12" s="187">
        <v>0</v>
      </c>
      <c r="B12" s="181">
        <f>$BE$1+A12</f>
        <v>2024</v>
      </c>
      <c r="C12" s="156"/>
      <c r="D12" s="157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59"/>
      <c r="Q12" s="158"/>
      <c r="R12" s="158"/>
      <c r="S12" s="158"/>
      <c r="T12" s="158"/>
      <c r="U12" s="158"/>
      <c r="V12" s="158"/>
      <c r="W12" s="158"/>
      <c r="X12" s="158"/>
      <c r="Y12" s="159"/>
      <c r="Z12" s="159"/>
      <c r="AA12" s="159"/>
      <c r="AB12" s="159"/>
      <c r="AC12" s="159"/>
      <c r="AD12" s="159"/>
      <c r="AE12" s="159"/>
      <c r="AF12" s="159"/>
      <c r="AG12" s="158"/>
      <c r="AH12" s="158"/>
      <c r="AI12" s="158"/>
      <c r="AJ12" s="158"/>
      <c r="AK12" s="158"/>
      <c r="AL12" s="158"/>
      <c r="AM12" s="158"/>
      <c r="AN12" s="159"/>
      <c r="AO12" s="159"/>
      <c r="AP12" s="160"/>
      <c r="AQ12" s="320">
        <f ca="1">SUM(AU12:BB12)</f>
        <v>25328357.065981794</v>
      </c>
      <c r="AR12" s="321"/>
      <c r="AS12" s="321"/>
      <c r="AT12" s="322"/>
      <c r="AU12" s="309">
        <f ca="1">SUMIFS(DEO_work!$W$2:$W$18,DEO_work!$S$2:$S$18,'FE-T1'!$B12)</f>
        <v>21039853.139273159</v>
      </c>
      <c r="AV12" s="310"/>
      <c r="AW12" s="310"/>
      <c r="AX12" s="318"/>
      <c r="AY12" s="309">
        <f ca="1">SUMIFS(DEK_work!$H$2:$H$20,DEK_work!$D$2:$D$20,'FE-T1'!$B12)</f>
        <v>4288503.9267086359</v>
      </c>
      <c r="AZ12" s="310"/>
      <c r="BA12" s="310"/>
      <c r="BB12" s="311"/>
    </row>
    <row r="13" spans="1:57">
      <c r="A13" s="187">
        <v>1</v>
      </c>
      <c r="B13" s="181">
        <f t="shared" ref="B13:B22" si="1">$BE$1+A13</f>
        <v>2025</v>
      </c>
      <c r="C13" s="156"/>
      <c r="D13" s="157"/>
      <c r="E13" s="158"/>
      <c r="F13" s="158"/>
      <c r="G13" s="158"/>
      <c r="H13" s="158"/>
      <c r="I13" s="158"/>
      <c r="J13" s="158"/>
      <c r="K13" s="158"/>
      <c r="L13" s="158"/>
      <c r="M13" s="159"/>
      <c r="N13" s="159"/>
      <c r="O13" s="159"/>
      <c r="P13" s="159"/>
      <c r="Q13" s="158"/>
      <c r="R13" s="158"/>
      <c r="S13" s="158"/>
      <c r="T13" s="158"/>
      <c r="U13" s="158"/>
      <c r="V13" s="158"/>
      <c r="W13" s="158"/>
      <c r="X13" s="158"/>
      <c r="Y13" s="159"/>
      <c r="Z13" s="159"/>
      <c r="AA13" s="159"/>
      <c r="AB13" s="159"/>
      <c r="AC13" s="159"/>
      <c r="AD13" s="159"/>
      <c r="AE13" s="159"/>
      <c r="AF13" s="159"/>
      <c r="AG13" s="158"/>
      <c r="AH13" s="158"/>
      <c r="AI13" s="158"/>
      <c r="AJ13" s="158"/>
      <c r="AK13" s="158"/>
      <c r="AL13" s="158"/>
      <c r="AM13" s="158"/>
      <c r="AN13" s="159"/>
      <c r="AO13" s="159"/>
      <c r="AP13" s="160"/>
      <c r="AQ13" s="320">
        <f t="shared" ref="AQ13:AQ22" ca="1" si="2">SUM(AU13:BB13)</f>
        <v>25598447.451096907</v>
      </c>
      <c r="AR13" s="321"/>
      <c r="AS13" s="321"/>
      <c r="AT13" s="322"/>
      <c r="AU13" s="309">
        <f ca="1">SUMIFS(DEO_work!$W$2:$W$18,DEO_work!$S$2:$S$18,'FE-T1'!$B13)</f>
        <v>21314451.745570324</v>
      </c>
      <c r="AV13" s="310"/>
      <c r="AW13" s="310"/>
      <c r="AX13" s="318"/>
      <c r="AY13" s="309">
        <f ca="1">SUMIFS(DEK_work!$H$2:$H$20,DEK_work!$D$2:$D$20,'FE-T1'!$B13)</f>
        <v>4283995.7055265829</v>
      </c>
      <c r="AZ13" s="310"/>
      <c r="BA13" s="310"/>
      <c r="BB13" s="311"/>
    </row>
    <row r="14" spans="1:57">
      <c r="A14" s="187">
        <v>2</v>
      </c>
      <c r="B14" s="181">
        <f t="shared" si="1"/>
        <v>2026</v>
      </c>
      <c r="C14" s="156"/>
      <c r="D14" s="157"/>
      <c r="E14" s="158"/>
      <c r="F14" s="158"/>
      <c r="G14" s="158"/>
      <c r="H14" s="158"/>
      <c r="I14" s="158"/>
      <c r="J14" s="158"/>
      <c r="K14" s="158"/>
      <c r="L14" s="158"/>
      <c r="M14" s="159"/>
      <c r="N14" s="159"/>
      <c r="O14" s="159"/>
      <c r="P14" s="159"/>
      <c r="Q14" s="158"/>
      <c r="R14" s="158"/>
      <c r="S14" s="158"/>
      <c r="T14" s="158"/>
      <c r="U14" s="158"/>
      <c r="V14" s="158"/>
      <c r="W14" s="158"/>
      <c r="X14" s="158"/>
      <c r="Y14" s="159"/>
      <c r="Z14" s="159"/>
      <c r="AA14" s="159"/>
      <c r="AB14" s="159"/>
      <c r="AC14" s="159"/>
      <c r="AD14" s="159"/>
      <c r="AE14" s="159"/>
      <c r="AF14" s="159"/>
      <c r="AG14" s="158"/>
      <c r="AH14" s="158"/>
      <c r="AI14" s="158"/>
      <c r="AJ14" s="158"/>
      <c r="AK14" s="158"/>
      <c r="AL14" s="158"/>
      <c r="AM14" s="158"/>
      <c r="AN14" s="159"/>
      <c r="AO14" s="159"/>
      <c r="AP14" s="160"/>
      <c r="AQ14" s="320">
        <f t="shared" ca="1" si="2"/>
        <v>25657036.70495154</v>
      </c>
      <c r="AR14" s="321"/>
      <c r="AS14" s="321"/>
      <c r="AT14" s="322"/>
      <c r="AU14" s="309">
        <f ca="1">SUMIFS(DEO_work!$W$2:$W$18,DEO_work!$S$2:$S$18,'FE-T1'!$B14)</f>
        <v>21366413.279497635</v>
      </c>
      <c r="AV14" s="310"/>
      <c r="AW14" s="310"/>
      <c r="AX14" s="318"/>
      <c r="AY14" s="309">
        <f ca="1">SUMIFS(DEK_work!$H$2:$H$20,DEK_work!$D$2:$D$20,'FE-T1'!$B14)</f>
        <v>4290623.4254539041</v>
      </c>
      <c r="AZ14" s="310"/>
      <c r="BA14" s="310"/>
      <c r="BB14" s="311"/>
    </row>
    <row r="15" spans="1:57">
      <c r="A15" s="187">
        <v>3</v>
      </c>
      <c r="B15" s="181">
        <f t="shared" si="1"/>
        <v>2027</v>
      </c>
      <c r="C15" s="156"/>
      <c r="D15" s="157"/>
      <c r="E15" s="158"/>
      <c r="F15" s="158"/>
      <c r="G15" s="158"/>
      <c r="H15" s="158"/>
      <c r="I15" s="158"/>
      <c r="J15" s="158"/>
      <c r="K15" s="158"/>
      <c r="L15" s="158"/>
      <c r="M15" s="159"/>
      <c r="N15" s="159"/>
      <c r="O15" s="159"/>
      <c r="P15" s="159"/>
      <c r="Q15" s="158"/>
      <c r="R15" s="158"/>
      <c r="S15" s="158"/>
      <c r="T15" s="158"/>
      <c r="U15" s="158"/>
      <c r="V15" s="158"/>
      <c r="W15" s="158"/>
      <c r="X15" s="158"/>
      <c r="Y15" s="159"/>
      <c r="Z15" s="159"/>
      <c r="AA15" s="159"/>
      <c r="AB15" s="159"/>
      <c r="AC15" s="159"/>
      <c r="AD15" s="159"/>
      <c r="AE15" s="159"/>
      <c r="AF15" s="159"/>
      <c r="AG15" s="158"/>
      <c r="AH15" s="158"/>
      <c r="AI15" s="158"/>
      <c r="AJ15" s="158"/>
      <c r="AK15" s="158"/>
      <c r="AL15" s="158"/>
      <c r="AM15" s="158"/>
      <c r="AN15" s="159"/>
      <c r="AO15" s="159"/>
      <c r="AP15" s="160"/>
      <c r="AQ15" s="320">
        <f t="shared" ca="1" si="2"/>
        <v>25687938.444986563</v>
      </c>
      <c r="AR15" s="321"/>
      <c r="AS15" s="321"/>
      <c r="AT15" s="322"/>
      <c r="AU15" s="309">
        <f ca="1">SUMIFS(DEO_work!$W$2:$W$18,DEO_work!$S$2:$S$18,'FE-T1'!$B15)</f>
        <v>21403208.619482584</v>
      </c>
      <c r="AV15" s="310"/>
      <c r="AW15" s="310"/>
      <c r="AX15" s="318"/>
      <c r="AY15" s="309">
        <f ca="1">SUMIFS(DEK_work!$H$2:$H$20,DEK_work!$D$2:$D$20,'FE-T1'!$B15)</f>
        <v>4284729.8255039779</v>
      </c>
      <c r="AZ15" s="310"/>
      <c r="BA15" s="310"/>
      <c r="BB15" s="311"/>
    </row>
    <row r="16" spans="1:57">
      <c r="A16" s="187">
        <v>4</v>
      </c>
      <c r="B16" s="181">
        <f t="shared" si="1"/>
        <v>2028</v>
      </c>
      <c r="C16" s="156"/>
      <c r="D16" s="157"/>
      <c r="E16" s="158"/>
      <c r="F16" s="158"/>
      <c r="G16" s="158"/>
      <c r="H16" s="158"/>
      <c r="I16" s="158"/>
      <c r="J16" s="158"/>
      <c r="K16" s="158"/>
      <c r="L16" s="158"/>
      <c r="M16" s="159"/>
      <c r="N16" s="159"/>
      <c r="O16" s="159"/>
      <c r="P16" s="159"/>
      <c r="Q16" s="158"/>
      <c r="R16" s="158"/>
      <c r="S16" s="158"/>
      <c r="T16" s="158"/>
      <c r="U16" s="158"/>
      <c r="V16" s="158"/>
      <c r="W16" s="158"/>
      <c r="X16" s="158"/>
      <c r="Y16" s="159"/>
      <c r="Z16" s="159"/>
      <c r="AA16" s="159"/>
      <c r="AB16" s="159"/>
      <c r="AC16" s="159"/>
      <c r="AD16" s="159"/>
      <c r="AE16" s="159"/>
      <c r="AF16" s="159"/>
      <c r="AG16" s="158"/>
      <c r="AH16" s="158"/>
      <c r="AI16" s="158"/>
      <c r="AJ16" s="158"/>
      <c r="AK16" s="158"/>
      <c r="AL16" s="158"/>
      <c r="AM16" s="158"/>
      <c r="AN16" s="159"/>
      <c r="AO16" s="159"/>
      <c r="AP16" s="160"/>
      <c r="AQ16" s="320">
        <f t="shared" ca="1" si="2"/>
        <v>25781539.695696641</v>
      </c>
      <c r="AR16" s="321"/>
      <c r="AS16" s="321"/>
      <c r="AT16" s="322"/>
      <c r="AU16" s="309">
        <f ca="1">SUMIFS(DEO_work!$W$2:$W$18,DEO_work!$S$2:$S$18,'FE-T1'!$B16)</f>
        <v>21490988.651686426</v>
      </c>
      <c r="AV16" s="310"/>
      <c r="AW16" s="310"/>
      <c r="AX16" s="318"/>
      <c r="AY16" s="309">
        <f ca="1">SUMIFS(DEK_work!$H$2:$H$20,DEK_work!$D$2:$D$20,'FE-T1'!$B16)</f>
        <v>4290551.0440102145</v>
      </c>
      <c r="AZ16" s="310"/>
      <c r="BA16" s="310"/>
      <c r="BB16" s="311"/>
    </row>
    <row r="17" spans="1:54">
      <c r="A17" s="187">
        <v>5</v>
      </c>
      <c r="B17" s="181">
        <f t="shared" si="1"/>
        <v>2029</v>
      </c>
      <c r="C17" s="156"/>
      <c r="D17" s="157"/>
      <c r="E17" s="158"/>
      <c r="F17" s="158"/>
      <c r="G17" s="158"/>
      <c r="H17" s="158"/>
      <c r="I17" s="158"/>
      <c r="J17" s="158"/>
      <c r="K17" s="158"/>
      <c r="L17" s="158"/>
      <c r="M17" s="159"/>
      <c r="N17" s="159"/>
      <c r="O17" s="159"/>
      <c r="P17" s="159"/>
      <c r="Q17" s="158"/>
      <c r="R17" s="158"/>
      <c r="S17" s="158"/>
      <c r="T17" s="158"/>
      <c r="U17" s="158"/>
      <c r="V17" s="158"/>
      <c r="W17" s="158"/>
      <c r="X17" s="158"/>
      <c r="Y17" s="159"/>
      <c r="Z17" s="159"/>
      <c r="AA17" s="159"/>
      <c r="AB17" s="159"/>
      <c r="AC17" s="159"/>
      <c r="AD17" s="159"/>
      <c r="AE17" s="159"/>
      <c r="AF17" s="159"/>
      <c r="AG17" s="158"/>
      <c r="AH17" s="158"/>
      <c r="AI17" s="158"/>
      <c r="AJ17" s="158"/>
      <c r="AK17" s="158"/>
      <c r="AL17" s="158"/>
      <c r="AM17" s="158"/>
      <c r="AN17" s="159"/>
      <c r="AO17" s="159"/>
      <c r="AP17" s="160"/>
      <c r="AQ17" s="320">
        <f t="shared" ca="1" si="2"/>
        <v>25795189.997797266</v>
      </c>
      <c r="AR17" s="321"/>
      <c r="AS17" s="321"/>
      <c r="AT17" s="322"/>
      <c r="AU17" s="309">
        <f ca="1">SUMIFS(DEO_work!$W$2:$W$18,DEO_work!$S$2:$S$18,'FE-T1'!$B17)</f>
        <v>21512703.804972578</v>
      </c>
      <c r="AV17" s="310"/>
      <c r="AW17" s="310"/>
      <c r="AX17" s="318"/>
      <c r="AY17" s="309">
        <f ca="1">SUMIFS(DEK_work!$H$2:$H$20,DEK_work!$D$2:$D$20,'FE-T1'!$B17)</f>
        <v>4282486.1928246869</v>
      </c>
      <c r="AZ17" s="310"/>
      <c r="BA17" s="310"/>
      <c r="BB17" s="311"/>
    </row>
    <row r="18" spans="1:54">
      <c r="A18" s="187">
        <v>6</v>
      </c>
      <c r="B18" s="181">
        <f t="shared" si="1"/>
        <v>2030</v>
      </c>
      <c r="C18" s="156"/>
      <c r="D18" s="157"/>
      <c r="E18" s="158"/>
      <c r="F18" s="158"/>
      <c r="G18" s="158"/>
      <c r="H18" s="158"/>
      <c r="I18" s="158"/>
      <c r="J18" s="158"/>
      <c r="K18" s="158"/>
      <c r="L18" s="158"/>
      <c r="M18" s="159"/>
      <c r="N18" s="159"/>
      <c r="O18" s="159"/>
      <c r="P18" s="159"/>
      <c r="Q18" s="158"/>
      <c r="R18" s="158"/>
      <c r="S18" s="158"/>
      <c r="T18" s="158"/>
      <c r="U18" s="158"/>
      <c r="V18" s="158"/>
      <c r="W18" s="158"/>
      <c r="X18" s="158"/>
      <c r="Y18" s="159"/>
      <c r="Z18" s="159"/>
      <c r="AA18" s="159"/>
      <c r="AB18" s="159"/>
      <c r="AC18" s="159"/>
      <c r="AD18" s="159"/>
      <c r="AE18" s="159"/>
      <c r="AF18" s="159"/>
      <c r="AG18" s="158"/>
      <c r="AH18" s="158"/>
      <c r="AI18" s="158"/>
      <c r="AJ18" s="158"/>
      <c r="AK18" s="158"/>
      <c r="AL18" s="158"/>
      <c r="AM18" s="158"/>
      <c r="AN18" s="159"/>
      <c r="AO18" s="159"/>
      <c r="AP18" s="160"/>
      <c r="AQ18" s="320">
        <f t="shared" ca="1" si="2"/>
        <v>25939164.200571239</v>
      </c>
      <c r="AR18" s="321"/>
      <c r="AS18" s="321"/>
      <c r="AT18" s="322"/>
      <c r="AU18" s="309">
        <f ca="1">SUMIFS(DEO_work!$W$2:$W$18,DEO_work!$S$2:$S$18,'FE-T1'!$B18)</f>
        <v>21576570.609150019</v>
      </c>
      <c r="AV18" s="310"/>
      <c r="AW18" s="310"/>
      <c r="AX18" s="318"/>
      <c r="AY18" s="309">
        <f ca="1">SUMIFS(DEK_work!$H$2:$H$20,DEK_work!$D$2:$D$20,'FE-T1'!$B18)</f>
        <v>4362593.5914212205</v>
      </c>
      <c r="AZ18" s="310"/>
      <c r="BA18" s="310"/>
      <c r="BB18" s="311"/>
    </row>
    <row r="19" spans="1:54">
      <c r="A19" s="187">
        <v>7</v>
      </c>
      <c r="B19" s="181">
        <f t="shared" si="1"/>
        <v>2031</v>
      </c>
      <c r="C19" s="156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61"/>
      <c r="AQ19" s="320">
        <f t="shared" ca="1" si="2"/>
        <v>26053360.356249068</v>
      </c>
      <c r="AR19" s="321"/>
      <c r="AS19" s="321"/>
      <c r="AT19" s="322"/>
      <c r="AU19" s="309">
        <f ca="1">SUMIFS(DEO_work!$W$2:$W$18,DEO_work!$S$2:$S$18,'FE-T1'!$B19)</f>
        <v>21683313.238951966</v>
      </c>
      <c r="AV19" s="310"/>
      <c r="AW19" s="310"/>
      <c r="AX19" s="318"/>
      <c r="AY19" s="309">
        <f ca="1">SUMIFS(DEK_work!$H$2:$H$20,DEK_work!$D$2:$D$20,'FE-T1'!$B19)</f>
        <v>4370047.1172971008</v>
      </c>
      <c r="AZ19" s="310"/>
      <c r="BA19" s="310"/>
      <c r="BB19" s="311"/>
    </row>
    <row r="20" spans="1:54">
      <c r="A20" s="187">
        <v>8</v>
      </c>
      <c r="B20" s="181">
        <f t="shared" si="1"/>
        <v>2032</v>
      </c>
      <c r="C20" s="156"/>
      <c r="D20" s="157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61"/>
      <c r="AQ20" s="320">
        <f t="shared" ca="1" si="2"/>
        <v>26248025.887420557</v>
      </c>
      <c r="AR20" s="321"/>
      <c r="AS20" s="321"/>
      <c r="AT20" s="322"/>
      <c r="AU20" s="309">
        <f ca="1">SUMIFS(DEO_work!$W$2:$W$18,DEO_work!$S$2:$S$18,'FE-T1'!$B20)</f>
        <v>21858207.594735712</v>
      </c>
      <c r="AV20" s="310"/>
      <c r="AW20" s="310"/>
      <c r="AX20" s="318"/>
      <c r="AY20" s="309">
        <f ca="1">SUMIFS(DEK_work!$H$2:$H$20,DEK_work!$D$2:$D$20,'FE-T1'!$B20)</f>
        <v>4389818.2926848466</v>
      </c>
      <c r="AZ20" s="310"/>
      <c r="BA20" s="310"/>
      <c r="BB20" s="311"/>
    </row>
    <row r="21" spans="1:54">
      <c r="A21" s="187">
        <v>9</v>
      </c>
      <c r="B21" s="181">
        <f t="shared" si="1"/>
        <v>2033</v>
      </c>
      <c r="C21" s="191"/>
      <c r="D21" s="192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4"/>
      <c r="AQ21" s="320">
        <f t="shared" ca="1" si="2"/>
        <v>26403690.853431121</v>
      </c>
      <c r="AR21" s="321"/>
      <c r="AS21" s="321"/>
      <c r="AT21" s="322"/>
      <c r="AU21" s="309">
        <f ca="1">SUMIFS(DEO_work!$W$2:$W$18,DEO_work!$S$2:$S$18,'FE-T1'!$B21)</f>
        <v>22003209.690781318</v>
      </c>
      <c r="AV21" s="310"/>
      <c r="AW21" s="310"/>
      <c r="AX21" s="318"/>
      <c r="AY21" s="309">
        <f ca="1">SUMIFS(DEK_work!$H$2:$H$20,DEK_work!$D$2:$D$20,'FE-T1'!$B21)</f>
        <v>4400481.162649801</v>
      </c>
      <c r="AZ21" s="310"/>
      <c r="BA21" s="310"/>
      <c r="BB21" s="311"/>
    </row>
    <row r="22" spans="1:54" ht="15.75" thickBot="1">
      <c r="A22" s="188">
        <v>10</v>
      </c>
      <c r="B22" s="189">
        <f t="shared" si="1"/>
        <v>2034</v>
      </c>
      <c r="C22" s="17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4"/>
      <c r="AQ22" s="339">
        <f t="shared" ca="1" si="2"/>
        <v>26619712.418181628</v>
      </c>
      <c r="AR22" s="340"/>
      <c r="AS22" s="340"/>
      <c r="AT22" s="341"/>
      <c r="AU22" s="342">
        <f ca="1">SUMIFS(DEO_work!$W$2:$W$19,DEO_work!$S$2:$S$19,'FE-T1'!$B22)</f>
        <v>22199454.418181628</v>
      </c>
      <c r="AV22" s="343"/>
      <c r="AW22" s="343"/>
      <c r="AX22" s="344"/>
      <c r="AY22" s="309">
        <v>4420258</v>
      </c>
      <c r="AZ22" s="310"/>
      <c r="BA22" s="310"/>
      <c r="BB22" s="311"/>
    </row>
    <row r="23" spans="1:54">
      <c r="AV23" s="338">
        <f ca="1">SUM(DEO_work!W3:W18)-SUM(AU7:AX22)</f>
        <v>-13074814.249922693</v>
      </c>
      <c r="AW23" s="338"/>
      <c r="AZ23" s="338">
        <f ca="1">-SUM(DEK_work!H3:H18)+SUM(AY7:BB22)</f>
        <v>245484.11378890276</v>
      </c>
      <c r="BA23" s="338"/>
    </row>
    <row r="24" spans="1:54">
      <c r="A24" s="214" t="s">
        <v>145</v>
      </c>
    </row>
  </sheetData>
  <mergeCells count="123">
    <mergeCell ref="AV23:AW23"/>
    <mergeCell ref="AZ23:BA23"/>
    <mergeCell ref="AU17:AX17"/>
    <mergeCell ref="S8:V8"/>
    <mergeCell ref="AQ22:AT22"/>
    <mergeCell ref="AU22:AX22"/>
    <mergeCell ref="AY22:BB22"/>
    <mergeCell ref="C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M11:AP11"/>
    <mergeCell ref="AQ17:AT17"/>
    <mergeCell ref="AQ18:AT18"/>
    <mergeCell ref="AQ19:AT19"/>
    <mergeCell ref="AQ20:AT20"/>
    <mergeCell ref="AQ21:AT21"/>
    <mergeCell ref="AQ15:AT15"/>
    <mergeCell ref="AQ16:AT16"/>
    <mergeCell ref="AV4:AV6"/>
    <mergeCell ref="AW4:AW6"/>
    <mergeCell ref="E4:E6"/>
    <mergeCell ref="I4:I6"/>
    <mergeCell ref="U4:U6"/>
    <mergeCell ref="C10:F10"/>
    <mergeCell ref="G7:J7"/>
    <mergeCell ref="G8:J8"/>
    <mergeCell ref="G9:J9"/>
    <mergeCell ref="G10:J10"/>
    <mergeCell ref="C7:F7"/>
    <mergeCell ref="C8:F8"/>
    <mergeCell ref="C9:F9"/>
    <mergeCell ref="W9:Z9"/>
    <mergeCell ref="W10:Z10"/>
    <mergeCell ref="AA7:AD7"/>
    <mergeCell ref="AA8:AD8"/>
    <mergeCell ref="AA9:AD9"/>
    <mergeCell ref="AA10:AD10"/>
    <mergeCell ref="O7:R7"/>
    <mergeCell ref="D4:D6"/>
    <mergeCell ref="H4:H6"/>
    <mergeCell ref="L4:L6"/>
    <mergeCell ref="K10:N10"/>
    <mergeCell ref="K9:N9"/>
    <mergeCell ref="AQ11:AT11"/>
    <mergeCell ref="AQ12:AT12"/>
    <mergeCell ref="AU14:AX14"/>
    <mergeCell ref="AU15:AX15"/>
    <mergeCell ref="K8:N8"/>
    <mergeCell ref="K7:N7"/>
    <mergeCell ref="P4:P6"/>
    <mergeCell ref="T4:T6"/>
    <mergeCell ref="W7:Z7"/>
    <mergeCell ref="W8:Z8"/>
    <mergeCell ref="O8:R8"/>
    <mergeCell ref="AQ14:AT14"/>
    <mergeCell ref="AM7:AP7"/>
    <mergeCell ref="AM8:AP8"/>
    <mergeCell ref="AM9:AP9"/>
    <mergeCell ref="AM10:AP10"/>
    <mergeCell ref="AQ7:AT7"/>
    <mergeCell ref="AQ8:AT8"/>
    <mergeCell ref="AB4:AB6"/>
    <mergeCell ref="AF4:AF6"/>
    <mergeCell ref="AG4:AG6"/>
    <mergeCell ref="AU7:AX7"/>
    <mergeCell ref="AU8:AX8"/>
    <mergeCell ref="S9:V9"/>
    <mergeCell ref="S10:V10"/>
    <mergeCell ref="AQ9:AT9"/>
    <mergeCell ref="AQ10:AT10"/>
    <mergeCell ref="AE7:AH7"/>
    <mergeCell ref="AE8:AH8"/>
    <mergeCell ref="AE9:AH9"/>
    <mergeCell ref="AE10:AH10"/>
    <mergeCell ref="AI7:AL7"/>
    <mergeCell ref="AI8:AL8"/>
    <mergeCell ref="AI10:AL10"/>
    <mergeCell ref="AI9:AL9"/>
    <mergeCell ref="S7:V7"/>
    <mergeCell ref="AQ13:AT13"/>
    <mergeCell ref="A1:BB1"/>
    <mergeCell ref="A2:BB2"/>
    <mergeCell ref="AY16:BB16"/>
    <mergeCell ref="AY17:BB17"/>
    <mergeCell ref="AY18:BB18"/>
    <mergeCell ref="AY19:BB19"/>
    <mergeCell ref="AZ4:AZ6"/>
    <mergeCell ref="BA4:BA6"/>
    <mergeCell ref="AY7:BB7"/>
    <mergeCell ref="AY8:BB8"/>
    <mergeCell ref="AY9:BB9"/>
    <mergeCell ref="X4:X6"/>
    <mergeCell ref="AJ4:AJ6"/>
    <mergeCell ref="AS4:AS6"/>
    <mergeCell ref="AK4:AK6"/>
    <mergeCell ref="AN4:AN6"/>
    <mergeCell ref="AR4:AR6"/>
    <mergeCell ref="O9:R9"/>
    <mergeCell ref="O10:R10"/>
    <mergeCell ref="AU12:AX12"/>
    <mergeCell ref="AU13:AX13"/>
    <mergeCell ref="AU9:AX9"/>
    <mergeCell ref="AU10:AX10"/>
    <mergeCell ref="AY20:BB20"/>
    <mergeCell ref="AY21:BB21"/>
    <mergeCell ref="AY10:BB10"/>
    <mergeCell ref="AY11:BB11"/>
    <mergeCell ref="AY12:BB12"/>
    <mergeCell ref="AY13:BB13"/>
    <mergeCell ref="AY14:BB14"/>
    <mergeCell ref="AY15:BB15"/>
    <mergeCell ref="AU18:AX18"/>
    <mergeCell ref="AU19:AX19"/>
    <mergeCell ref="AU20:AX20"/>
    <mergeCell ref="AU21:AX21"/>
    <mergeCell ref="AU16:AX16"/>
    <mergeCell ref="AU11:AX11"/>
  </mergeCells>
  <pageMargins left="0.7" right="0.7" top="1.03125" bottom="0.75" header="0.3" footer="0.3"/>
  <pageSetup scale="54" orientation="landscape" r:id="rId1"/>
  <headerFooter>
    <oddHeader xml:space="preserve">&amp;R&amp;"Times New Roman,Bold"PUCO Case No. 24-503-EL-FOR
Source Files
Work Tables
Page &amp;P of &amp;N
</oddHeader>
  </headerFooter>
  <ignoredErrors>
    <ignoredError sqref="C5 G5 K5 O5 S5 W5 AA5 AE5 AI5 AM5 AQ5 AU5 AY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U34"/>
  <sheetViews>
    <sheetView showGridLines="0" view="pageLayout" zoomScaleNormal="100" workbookViewId="0">
      <selection activeCell="J10" sqref="J10"/>
    </sheetView>
  </sheetViews>
  <sheetFormatPr defaultRowHeight="12.75"/>
  <cols>
    <col min="5" max="5" width="25.7109375" customWidth="1"/>
    <col min="6" max="6" width="16.85546875" customWidth="1"/>
    <col min="7" max="7" width="14.42578125" customWidth="1"/>
    <col min="8" max="8" width="22.5703125" customWidth="1"/>
    <col min="19" max="19" width="3.7109375" customWidth="1"/>
  </cols>
  <sheetData>
    <row r="1" spans="3:21">
      <c r="H1" t="s">
        <v>69</v>
      </c>
    </row>
    <row r="3" spans="3:21">
      <c r="F3" s="1"/>
    </row>
    <row r="4" spans="3:21">
      <c r="C4" s="3"/>
      <c r="D4" s="3"/>
      <c r="E4" s="3"/>
      <c r="F4" s="2"/>
      <c r="G4" s="3"/>
      <c r="H4" s="3"/>
    </row>
    <row r="5" spans="3:21">
      <c r="C5" s="348" t="s">
        <v>146</v>
      </c>
      <c r="D5" s="349"/>
      <c r="E5" s="349"/>
      <c r="F5" s="349"/>
      <c r="G5" s="349"/>
      <c r="H5" s="349"/>
    </row>
    <row r="6" spans="3:21">
      <c r="C6" s="58"/>
      <c r="D6" s="58"/>
      <c r="E6" s="58"/>
      <c r="F6" s="103"/>
      <c r="G6" s="58"/>
      <c r="H6" s="58"/>
    </row>
    <row r="7" spans="3:21">
      <c r="C7" s="350" t="s">
        <v>70</v>
      </c>
      <c r="D7" s="350"/>
      <c r="E7" s="350"/>
      <c r="F7" s="350"/>
      <c r="G7" s="350"/>
      <c r="H7" s="350"/>
    </row>
    <row r="8" spans="3:21">
      <c r="C8" s="351" t="s">
        <v>57</v>
      </c>
      <c r="D8" s="351"/>
      <c r="E8" s="351"/>
      <c r="F8" s="351"/>
      <c r="G8" s="351"/>
      <c r="H8" s="351"/>
    </row>
    <row r="9" spans="3:21" ht="13.5" thickBot="1">
      <c r="C9" s="350" t="s">
        <v>71</v>
      </c>
      <c r="D9" s="350"/>
      <c r="E9" s="350"/>
      <c r="F9" s="350"/>
      <c r="G9" s="350"/>
      <c r="H9" s="350"/>
    </row>
    <row r="10" spans="3:21">
      <c r="C10" s="106"/>
      <c r="D10" s="107"/>
      <c r="E10" s="95" t="s">
        <v>72</v>
      </c>
      <c r="F10" s="95"/>
      <c r="G10" s="95" t="s">
        <v>73</v>
      </c>
      <c r="H10" s="108"/>
    </row>
    <row r="11" spans="3:21">
      <c r="C11" s="21"/>
      <c r="D11" s="22" t="s">
        <v>24</v>
      </c>
      <c r="E11" s="104" t="s">
        <v>59</v>
      </c>
      <c r="F11" s="104" t="s">
        <v>74</v>
      </c>
      <c r="G11" s="104" t="s">
        <v>59</v>
      </c>
      <c r="H11" s="105" t="s">
        <v>74</v>
      </c>
    </row>
    <row r="12" spans="3:21">
      <c r="C12" s="21">
        <v>-5</v>
      </c>
      <c r="D12" s="22">
        <f>'FE-T1'!$BE$1+C12</f>
        <v>2019</v>
      </c>
      <c r="E12" s="285">
        <f ca="1">OFFSET('FE-D3 (BDSM)'!$F$18,$C12,0)</f>
        <v>3932</v>
      </c>
      <c r="F12" s="97">
        <f ca="1">OFFSET('FE-D3 (BDSM)'!G$18,$C12,0)</f>
        <v>3169</v>
      </c>
      <c r="G12" s="97">
        <f ca="1">OFFSET('FE-D3 (BDSM)'!H$18,$C12,0)</f>
        <v>3976.1626120000001</v>
      </c>
      <c r="H12" s="286">
        <f ca="1">OFFSET('FE-D3 (BDSM)'!K$18,$C12,0)</f>
        <v>3169</v>
      </c>
    </row>
    <row r="13" spans="3:21">
      <c r="C13" s="21">
        <v>-4</v>
      </c>
      <c r="D13" s="22">
        <f>'FE-T1'!$BE$1+C13</f>
        <v>2020</v>
      </c>
      <c r="E13" s="285">
        <f ca="1">OFFSET('FE-D3 (BDSM)'!$F$18,$C13,0)</f>
        <v>3899</v>
      </c>
      <c r="F13" s="97">
        <f ca="1">OFFSET('FE-D3 (BDSM)'!G$18,$C13,0)</f>
        <v>3305</v>
      </c>
      <c r="G13" s="97">
        <f ca="1">OFFSET('FE-D3 (BDSM)'!H$18,$C13,0)</f>
        <v>3899</v>
      </c>
      <c r="H13" s="286">
        <f ca="1">OFFSET('FE-D3 (BDSM)'!K$18,$C13,0)</f>
        <v>3305</v>
      </c>
      <c r="L13" s="3"/>
      <c r="M13" s="3"/>
      <c r="N13" s="3"/>
      <c r="O13" s="3"/>
      <c r="P13" s="3"/>
    </row>
    <row r="14" spans="3:21">
      <c r="C14" s="21">
        <v>-3</v>
      </c>
      <c r="D14" s="22">
        <f>'FE-T1'!$BE$1+C14</f>
        <v>2021</v>
      </c>
      <c r="E14" s="285">
        <f ca="1">OFFSET('FE-D3 (BDSM)'!$F$18,$C14,0)</f>
        <v>4198</v>
      </c>
      <c r="F14" s="97">
        <f ca="1">OFFSET('FE-D3 (BDSM)'!G$18,$C14,0)</f>
        <v>3420</v>
      </c>
      <c r="G14" s="97">
        <f ca="1">OFFSET('FE-D3 (BDSM)'!H$18,$C14,0)</f>
        <v>4198</v>
      </c>
      <c r="H14" s="286">
        <f ca="1">OFFSET('FE-D3 (BDSM)'!K$18,$C14,0)</f>
        <v>3420</v>
      </c>
      <c r="L14" s="3"/>
      <c r="M14" s="3"/>
      <c r="N14" s="3"/>
      <c r="O14" s="3"/>
      <c r="P14" s="3"/>
    </row>
    <row r="15" spans="3:21">
      <c r="C15" s="21">
        <v>-2</v>
      </c>
      <c r="D15" s="22">
        <f>'FE-T1'!$BE$1+C15</f>
        <v>2022</v>
      </c>
      <c r="E15" s="285">
        <f ca="1">OFFSET('FE-D3 (BDSM)'!$F$18,$C15,0)</f>
        <v>4074</v>
      </c>
      <c r="F15" s="97">
        <f ca="1">OFFSET('FE-D3 (BDSM)'!G$18,$C15,0)</f>
        <v>3794</v>
      </c>
      <c r="G15" s="97">
        <f ca="1">OFFSET('FE-D3 (BDSM)'!H$18,$C15,0)</f>
        <v>4074</v>
      </c>
      <c r="H15" s="286">
        <f ca="1">OFFSET('FE-D3 (BDSM)'!K$18,$C15,0)</f>
        <v>3794</v>
      </c>
      <c r="L15" s="3"/>
      <c r="M15" s="3" t="s">
        <v>135</v>
      </c>
      <c r="N15" s="3"/>
      <c r="O15" s="3"/>
      <c r="P15" s="3"/>
      <c r="R15" s="3" t="s">
        <v>206</v>
      </c>
      <c r="S15" s="3"/>
      <c r="T15" s="3"/>
      <c r="U15" s="3"/>
    </row>
    <row r="16" spans="3:21">
      <c r="C16" s="21">
        <v>-1</v>
      </c>
      <c r="D16" s="22">
        <f>'FE-T1'!$BE$1+C16</f>
        <v>2023</v>
      </c>
      <c r="E16" s="285">
        <f ca="1">OFFSET('FE-D3 (BDSM)'!$F$18,$C16,0)</f>
        <v>4031</v>
      </c>
      <c r="F16" s="97">
        <f ca="1">OFFSET('FE-D3 (BDSM)'!G$18,$C16,0)</f>
        <v>3739</v>
      </c>
      <c r="G16" s="97">
        <f ca="1">OFFSET('FE-D3 (BDSM)'!H$18,$C16,0)</f>
        <v>4031</v>
      </c>
      <c r="H16" s="286">
        <f ca="1">OFFSET('FE-D3 (BDSM)'!K$18,$C16,0)</f>
        <v>3739</v>
      </c>
      <c r="L16" s="3"/>
      <c r="M16" s="3"/>
      <c r="N16" s="3"/>
      <c r="O16" s="3"/>
      <c r="P16" s="3"/>
      <c r="R16" s="3"/>
      <c r="S16" s="3"/>
      <c r="T16" s="3"/>
      <c r="U16" s="3"/>
    </row>
    <row r="17" spans="3:20">
      <c r="C17" s="21">
        <v>0</v>
      </c>
      <c r="D17" s="22">
        <f>'FE-T1'!$BE$1+C17</f>
        <v>2024</v>
      </c>
      <c r="E17" s="228">
        <f ca="1">OFFSET('FE-D3 (BDSM)'!$F$18,$C17,0)</f>
        <v>3997.2000607025307</v>
      </c>
      <c r="F17" s="228">
        <f ca="1">OFFSET('FE-D3 (BDSM)'!G$18,$C17,0)</f>
        <v>3482.179251489913</v>
      </c>
      <c r="G17" s="228">
        <f ca="1">OFFSET('FE-D3 (BDSM)'!H$18,$C17,0)</f>
        <v>3997.2000607025307</v>
      </c>
      <c r="H17" s="229">
        <f ca="1">OFFSET('FE-D3 (BDSM)'!K$18,$C17,0)</f>
        <v>3482.179251489913</v>
      </c>
      <c r="L17">
        <f>D17</f>
        <v>2024</v>
      </c>
      <c r="M17" s="190">
        <f ca="1">'FE-D3 (BDSM)'!D18-E17</f>
        <v>0</v>
      </c>
      <c r="N17" s="190">
        <f ca="1">'FE-D3 (BDSM)'!G18-F17</f>
        <v>0</v>
      </c>
      <c r="O17" s="190">
        <f ca="1">'FE-D3 (BDSM)'!H18-G17</f>
        <v>0</v>
      </c>
      <c r="P17" s="190">
        <f ca="1">'FE-D3 (BDSM)'!K18-H17</f>
        <v>0</v>
      </c>
      <c r="R17" s="190">
        <f ca="1">'FE-D6 (BDSM) &amp; (ADSM)'!E16-E17</f>
        <v>0</v>
      </c>
      <c r="T17" s="190">
        <f ca="1">'FE-D6 (BDSM) &amp; (ADSM)'!G16-G17</f>
        <v>0</v>
      </c>
    </row>
    <row r="18" spans="3:20">
      <c r="C18" s="21">
        <v>1</v>
      </c>
      <c r="D18" s="22">
        <f>'FE-T1'!$BE$1+C18</f>
        <v>2025</v>
      </c>
      <c r="E18" s="228">
        <f ca="1">OFFSET('FE-D3 (BDSM)'!$F$18,$C18,0)</f>
        <v>4003.0604601966047</v>
      </c>
      <c r="F18" s="228">
        <f ca="1">OFFSET('FE-D3 (BDSM)'!G$18,$C18,0)</f>
        <v>3483.4468980268912</v>
      </c>
      <c r="G18" s="228">
        <f ca="1">OFFSET('FE-D3 (BDSM)'!H$18,$C18,0)</f>
        <v>4003.0604601966047</v>
      </c>
      <c r="H18" s="229">
        <f ca="1">OFFSET('FE-D3 (BDSM)'!K$18,$C18,0)</f>
        <v>3483.4468980268912</v>
      </c>
      <c r="L18">
        <f>D18</f>
        <v>2025</v>
      </c>
      <c r="M18" s="190">
        <f ca="1">'FE-D3 (BDSM)'!D19-E18</f>
        <v>0</v>
      </c>
      <c r="N18" s="190">
        <f ca="1">'FE-D3 (BDSM)'!G19-F18</f>
        <v>0</v>
      </c>
      <c r="O18" s="190">
        <f ca="1">'FE-D3 (BDSM)'!H19-G18</f>
        <v>0</v>
      </c>
      <c r="P18" s="190">
        <f ca="1">'FE-D3 (BDSM)'!K19-H18</f>
        <v>0</v>
      </c>
      <c r="R18" s="190">
        <f ca="1">'FE-D6 (BDSM) &amp; (ADSM)'!C31-E18</f>
        <v>0</v>
      </c>
      <c r="T18" s="190">
        <f ca="1">'FE-D6 (BDSM) &amp; (ADSM)'!G31-G18</f>
        <v>0</v>
      </c>
    </row>
    <row r="19" spans="3:20">
      <c r="C19" s="21">
        <v>2</v>
      </c>
      <c r="D19" s="22">
        <f>'FE-T1'!$BE$1+C19</f>
        <v>2026</v>
      </c>
      <c r="E19" s="228">
        <f ca="1">OFFSET('FE-D3 (BDSM)'!$F$18,$C19,0)</f>
        <v>4005.1436654751951</v>
      </c>
      <c r="F19" s="228">
        <f ca="1">OFFSET('FE-D3 (BDSM)'!G$18,$C19,0)</f>
        <v>3484.0123677965444</v>
      </c>
      <c r="G19" s="228">
        <f ca="1">OFFSET('FE-D3 (BDSM)'!H$18,$C19,0)</f>
        <v>4005.1436654751951</v>
      </c>
      <c r="H19" s="229">
        <f ca="1">OFFSET('FE-D3 (BDSM)'!K$18,$C19,0)</f>
        <v>3484.0123677965444</v>
      </c>
    </row>
    <row r="20" spans="3:20">
      <c r="C20" s="21">
        <v>3</v>
      </c>
      <c r="D20" s="22">
        <f>'FE-T1'!$BE$1+C20</f>
        <v>2027</v>
      </c>
      <c r="E20" s="228">
        <f ca="1">OFFSET('FE-D3 (BDSM)'!$F$18,$C20,0)</f>
        <v>4008.3471823475015</v>
      </c>
      <c r="F20" s="228">
        <f ca="1">OFFSET('FE-D3 (BDSM)'!G$18,$C20,0)</f>
        <v>3489.3374821864099</v>
      </c>
      <c r="G20" s="228">
        <f ca="1">OFFSET('FE-D3 (BDSM)'!H$18,$C20,0)</f>
        <v>4008.3471823475015</v>
      </c>
      <c r="H20" s="229">
        <f ca="1">OFFSET('FE-D3 (BDSM)'!K$18,$C20,0)</f>
        <v>3489.3374821864099</v>
      </c>
      <c r="L20" s="3"/>
      <c r="M20" s="3"/>
      <c r="N20" s="3"/>
      <c r="O20" s="3"/>
      <c r="P20" s="3"/>
      <c r="Q20" s="3"/>
    </row>
    <row r="21" spans="3:20">
      <c r="C21" s="21">
        <v>4</v>
      </c>
      <c r="D21" s="22">
        <f>'FE-T1'!$BE$1+C21</f>
        <v>2028</v>
      </c>
      <c r="E21" s="228">
        <f ca="1">OFFSET('FE-D3 (BDSM)'!$F$18,$C21,0)</f>
        <v>4013.6000549765986</v>
      </c>
      <c r="F21" s="228">
        <f ca="1">OFFSET('FE-D3 (BDSM)'!G$18,$C21,0)</f>
        <v>3527.3986492988129</v>
      </c>
      <c r="G21" s="228">
        <f ca="1">OFFSET('FE-D3 (BDSM)'!H$18,$C21,0)</f>
        <v>4013.6000549765986</v>
      </c>
      <c r="H21" s="229">
        <f ca="1">OFFSET('FE-D3 (BDSM)'!K$18,$C21,0)</f>
        <v>3527.3986492988129</v>
      </c>
      <c r="L21" s="3"/>
      <c r="Q21" s="3"/>
    </row>
    <row r="22" spans="3:20">
      <c r="C22" s="21">
        <v>5</v>
      </c>
      <c r="D22" s="22">
        <f>'FE-T1'!$BE$1+C22</f>
        <v>2029</v>
      </c>
      <c r="E22" s="228">
        <f ca="1">OFFSET('FE-D3 (BDSM)'!$F$18,$C22,0)</f>
        <v>4020.7183796378868</v>
      </c>
      <c r="F22" s="228">
        <f ca="1">OFFSET('FE-D3 (BDSM)'!G$18,$C22,0)</f>
        <v>3545.5760138247733</v>
      </c>
      <c r="G22" s="228">
        <f ca="1">OFFSET('FE-D3 (BDSM)'!H$18,$C22,0)</f>
        <v>4020.7183796378868</v>
      </c>
      <c r="H22" s="229">
        <f ca="1">OFFSET('FE-D3 (BDSM)'!K$18,$C22,0)</f>
        <v>3545.5760138247733</v>
      </c>
      <c r="L22" s="3"/>
      <c r="Q22" s="3"/>
    </row>
    <row r="23" spans="3:20">
      <c r="C23" s="21">
        <v>6</v>
      </c>
      <c r="D23" s="22">
        <f>'FE-T1'!$BE$1+C23</f>
        <v>2030</v>
      </c>
      <c r="E23" s="228">
        <f ca="1">OFFSET('FE-D3 (BDSM)'!$F$18,$C23,0)</f>
        <v>4028.0302387399329</v>
      </c>
      <c r="F23" s="228">
        <f ca="1">OFFSET('FE-D3 (BDSM)'!G$18,$C23,0)</f>
        <v>3512.9978210670592</v>
      </c>
      <c r="G23" s="228">
        <f ca="1">OFFSET('FE-D3 (BDSM)'!H$18,$C23,0)</f>
        <v>4028.0302387399329</v>
      </c>
      <c r="H23" s="229">
        <f ca="1">OFFSET('FE-D3 (BDSM)'!K$18,$C23,0)</f>
        <v>3512.9978210670592</v>
      </c>
    </row>
    <row r="24" spans="3:20">
      <c r="C24" s="21">
        <v>7</v>
      </c>
      <c r="D24" s="22">
        <f>'FE-T1'!$BE$1+C24</f>
        <v>2031</v>
      </c>
      <c r="E24" s="228">
        <f ca="1">OFFSET('FE-D3 (BDSM)'!$F$18,$C24,0)</f>
        <v>4042.410635512897</v>
      </c>
      <c r="F24" s="228">
        <f ca="1">OFFSET('FE-D3 (BDSM)'!G$18,$C24,0)</f>
        <v>3518.1805723913799</v>
      </c>
      <c r="G24" s="228">
        <f ca="1">OFFSET('FE-D3 (BDSM)'!H$18,$C24,0)</f>
        <v>4042.410635512897</v>
      </c>
      <c r="H24" s="229">
        <f ca="1">OFFSET('FE-D3 (BDSM)'!K$18,$C24,0)</f>
        <v>3518.1805723913799</v>
      </c>
    </row>
    <row r="25" spans="3:20">
      <c r="C25" s="21">
        <v>8</v>
      </c>
      <c r="D25" s="22">
        <f>'FE-T1'!$BE$1+C25</f>
        <v>2032</v>
      </c>
      <c r="E25" s="228">
        <f ca="1">OFFSET('FE-D3 (BDSM)'!$F$18,$C25,0)</f>
        <v>4075.772799264751</v>
      </c>
      <c r="F25" s="228">
        <f ca="1">OFFSET('FE-D3 (BDSM)'!G$18,$C25,0)</f>
        <v>3535.0301810829319</v>
      </c>
      <c r="G25" s="228">
        <f ca="1">OFFSET('FE-D3 (BDSM)'!H$18,$C25,0)</f>
        <v>4075.772799264751</v>
      </c>
      <c r="H25" s="229">
        <f ca="1">OFFSET('FE-D3 (BDSM)'!K$18,$C25,0)</f>
        <v>3535.0301810829319</v>
      </c>
    </row>
    <row r="26" spans="3:20">
      <c r="C26" s="21">
        <v>9</v>
      </c>
      <c r="D26" s="22">
        <f>'FE-T1'!$BE$1+C26</f>
        <v>2033</v>
      </c>
      <c r="E26" s="228">
        <f ca="1">OFFSET('FE-D3 (BDSM)'!$F$18,$C26,0)</f>
        <v>4112.8649506433203</v>
      </c>
      <c r="F26" s="228">
        <f ca="1">OFFSET('FE-D3 (BDSM)'!G$18,$C26,0)</f>
        <v>3681.2302566661606</v>
      </c>
      <c r="G26" s="228">
        <f ca="1">OFFSET('FE-D3 (BDSM)'!H$18,$C26,0)</f>
        <v>4112.8649506433203</v>
      </c>
      <c r="H26" s="229">
        <f ca="1">OFFSET('FE-D3 (BDSM)'!K$18,$C26,0)</f>
        <v>3681.2302566661606</v>
      </c>
    </row>
    <row r="27" spans="3:20" ht="13.5" thickBot="1">
      <c r="C27" s="61">
        <v>10</v>
      </c>
      <c r="D27" s="280">
        <f>'FE-T1'!$BE$1+C27</f>
        <v>2034</v>
      </c>
      <c r="E27" s="281">
        <f ca="1">OFFSET('FE-D3 (BDSM)'!$F$18,$C27,0)</f>
        <v>4139.4452874864492</v>
      </c>
      <c r="F27" s="281">
        <f ca="1">OFFSET('FE-D3 (BDSM)'!G$18,$C27,0)</f>
        <v>3736.4434426168928</v>
      </c>
      <c r="G27" s="281">
        <f ca="1">OFFSET('FE-D3 (BDSM)'!H$18,$C27,0)</f>
        <v>4139.4452874864492</v>
      </c>
      <c r="H27" s="282">
        <f ca="1">OFFSET('FE-D3 (BDSM)'!K$18,$C27,0)</f>
        <v>3736.4434426168928</v>
      </c>
    </row>
    <row r="28" spans="3:20">
      <c r="C28" s="215"/>
      <c r="D28" s="283"/>
      <c r="E28" s="284"/>
      <c r="F28" s="284"/>
      <c r="G28" s="284"/>
      <c r="H28" s="284"/>
    </row>
    <row r="29" spans="3:20">
      <c r="C29" s="58" t="s">
        <v>75</v>
      </c>
      <c r="D29" s="58"/>
      <c r="E29" s="58"/>
      <c r="F29" s="58"/>
      <c r="G29" s="58"/>
      <c r="H29" s="58"/>
    </row>
    <row r="30" spans="3:20">
      <c r="C30" s="58" t="s">
        <v>76</v>
      </c>
      <c r="D30" s="58"/>
      <c r="E30" s="58"/>
      <c r="F30" s="58"/>
      <c r="G30" s="58"/>
      <c r="H30" s="58"/>
    </row>
    <row r="31" spans="3:20">
      <c r="C31" s="58" t="s">
        <v>77</v>
      </c>
      <c r="D31" s="58"/>
      <c r="E31" s="58"/>
      <c r="F31" s="58"/>
      <c r="G31" s="58"/>
      <c r="H31" s="58"/>
    </row>
    <row r="32" spans="3:20">
      <c r="C32" s="58" t="s">
        <v>197</v>
      </c>
      <c r="D32" s="58"/>
      <c r="E32" s="58"/>
      <c r="F32" s="58"/>
      <c r="G32" s="58"/>
      <c r="H32" s="58"/>
    </row>
    <row r="33" spans="3:8">
      <c r="C33" s="58" t="s">
        <v>78</v>
      </c>
      <c r="D33" s="58"/>
      <c r="E33" s="58"/>
      <c r="F33" s="58"/>
      <c r="G33" s="58"/>
      <c r="H33" s="58"/>
    </row>
    <row r="34" spans="3:8">
      <c r="C34" s="3"/>
      <c r="E34" s="3"/>
      <c r="F34" s="3"/>
      <c r="G34" s="3"/>
      <c r="H34" s="3"/>
    </row>
  </sheetData>
  <mergeCells count="4">
    <mergeCell ref="C5:H5"/>
    <mergeCell ref="C7:H7"/>
    <mergeCell ref="C8:H8"/>
    <mergeCell ref="C9:H9"/>
  </mergeCells>
  <pageMargins left="0.7" right="0.7" top="1.0729166666666667" bottom="0.75" header="0.3" footer="0.3"/>
  <pageSetup scale="54" orientation="landscape" r:id="rId1"/>
  <headerFooter>
    <oddHeader xml:space="preserve">&amp;R&amp;"Times New Roman,Bold"PUCO Case No. 24-503-EL-FOR
Source Files
Work Tables
Page &amp;P of &amp;N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V39"/>
  <sheetViews>
    <sheetView showGridLines="0" view="pageLayout" zoomScaleNormal="100" workbookViewId="0">
      <selection activeCell="J10" sqref="J10"/>
    </sheetView>
  </sheetViews>
  <sheetFormatPr defaultRowHeight="12.75"/>
  <cols>
    <col min="2" max="4" width="9.140625" style="90"/>
    <col min="5" max="5" width="25.7109375" style="90" customWidth="1"/>
    <col min="6" max="6" width="16.85546875" style="90" customWidth="1"/>
    <col min="7" max="7" width="14.42578125" style="90" customWidth="1"/>
    <col min="8" max="8" width="22.5703125" style="90" customWidth="1"/>
    <col min="10" max="10" width="1.5703125" customWidth="1"/>
    <col min="11" max="11" width="1.140625" customWidth="1"/>
    <col min="17" max="17" width="3.7109375" customWidth="1"/>
    <col min="18" max="18" width="8.85546875" customWidth="1"/>
    <col min="19" max="19" width="2.42578125" customWidth="1"/>
    <col min="20" max="20" width="9.7109375" customWidth="1"/>
    <col min="21" max="21" width="10.42578125" customWidth="1"/>
    <col min="22" max="22" width="9.85546875" customWidth="1"/>
  </cols>
  <sheetData>
    <row r="1" spans="2:22">
      <c r="B1" s="109"/>
      <c r="C1" s="109"/>
      <c r="D1" s="109"/>
      <c r="E1" s="109"/>
    </row>
    <row r="2" spans="2:22" ht="15" hidden="1">
      <c r="K2" s="197"/>
    </row>
    <row r="4" spans="2:22">
      <c r="F4" s="91"/>
    </row>
    <row r="5" spans="2:22">
      <c r="C5" s="109"/>
      <c r="D5" s="109"/>
      <c r="E5" s="109"/>
      <c r="F5" s="110"/>
      <c r="G5" s="109"/>
      <c r="H5" s="109"/>
    </row>
    <row r="6" spans="2:22">
      <c r="C6" s="352" t="s">
        <v>146</v>
      </c>
      <c r="D6" s="352"/>
      <c r="E6" s="352"/>
      <c r="F6" s="352"/>
      <c r="G6" s="352"/>
      <c r="H6" s="352"/>
    </row>
    <row r="7" spans="2:22">
      <c r="C7" s="92"/>
      <c r="D7" s="92"/>
      <c r="E7" s="92"/>
      <c r="F7" s="93"/>
      <c r="G7" s="92"/>
      <c r="H7" s="92"/>
    </row>
    <row r="8" spans="2:22">
      <c r="C8" s="92"/>
      <c r="D8" s="92"/>
      <c r="E8" s="92"/>
      <c r="F8" s="7" t="s">
        <v>70</v>
      </c>
      <c r="G8" s="92"/>
      <c r="H8" s="92"/>
    </row>
    <row r="9" spans="2:22">
      <c r="C9" s="92"/>
      <c r="D9" s="92"/>
      <c r="E9" s="92"/>
      <c r="F9" s="93" t="s">
        <v>57</v>
      </c>
      <c r="G9" s="92"/>
      <c r="H9" s="92"/>
    </row>
    <row r="10" spans="2:22" ht="13.5" thickBot="1">
      <c r="C10" s="92"/>
      <c r="D10" s="92"/>
      <c r="E10" s="92"/>
      <c r="F10" s="7" t="s">
        <v>79</v>
      </c>
      <c r="G10" s="92"/>
      <c r="H10" s="92"/>
    </row>
    <row r="11" spans="2:22">
      <c r="C11" s="106"/>
      <c r="D11" s="107"/>
      <c r="E11" s="95" t="s">
        <v>72</v>
      </c>
      <c r="F11" s="95"/>
      <c r="G11" s="95" t="s">
        <v>73</v>
      </c>
      <c r="H11" s="108"/>
    </row>
    <row r="12" spans="2:22">
      <c r="C12" s="21"/>
      <c r="D12" s="22" t="s">
        <v>24</v>
      </c>
      <c r="E12" s="104" t="s">
        <v>59</v>
      </c>
      <c r="F12" s="104" t="s">
        <v>74</v>
      </c>
      <c r="G12" s="104" t="s">
        <v>59</v>
      </c>
      <c r="H12" s="105" t="s">
        <v>74</v>
      </c>
    </row>
    <row r="13" spans="2:22">
      <c r="C13" s="21">
        <v>-5</v>
      </c>
      <c r="D13" s="22">
        <f>'FE-T1'!$BE$1+C13</f>
        <v>2019</v>
      </c>
      <c r="E13" s="97">
        <f ca="1">'FE-D3 (ADSM)'!D13</f>
        <v>3932</v>
      </c>
      <c r="F13" s="97">
        <f ca="1">'FE-D3 (ADSM)'!G13</f>
        <v>3169</v>
      </c>
      <c r="G13" s="97">
        <f ca="1">'FE-D3 (ADSM)'!H13</f>
        <v>3976.1626120000001</v>
      </c>
      <c r="H13" s="87">
        <f ca="1">'FE-D3 (ADSM)'!K13</f>
        <v>3169</v>
      </c>
    </row>
    <row r="14" spans="2:22">
      <c r="C14" s="21">
        <v>-4</v>
      </c>
      <c r="D14" s="22">
        <f>'FE-T1'!$BE$1+C14</f>
        <v>2020</v>
      </c>
      <c r="E14" s="97">
        <f ca="1">'FE-D3 (ADSM)'!D14</f>
        <v>3899</v>
      </c>
      <c r="F14" s="97">
        <f ca="1">'FE-D3 (ADSM)'!G14</f>
        <v>3305</v>
      </c>
      <c r="G14" s="97">
        <f ca="1">'FE-D3 (ADSM)'!H14</f>
        <v>3899</v>
      </c>
      <c r="H14" s="87">
        <f ca="1">'FE-D3 (ADSM)'!K14</f>
        <v>3305</v>
      </c>
    </row>
    <row r="15" spans="2:22">
      <c r="C15" s="21">
        <v>-3</v>
      </c>
      <c r="D15" s="22">
        <f>'FE-T1'!$BE$1+C15</f>
        <v>2021</v>
      </c>
      <c r="E15" s="97">
        <f ca="1">'FE-D3 (ADSM)'!D15</f>
        <v>4198</v>
      </c>
      <c r="F15" s="97">
        <f ca="1">'FE-D3 (ADSM)'!G15</f>
        <v>3420</v>
      </c>
      <c r="G15" s="97">
        <f ca="1">'FE-D3 (ADSM)'!H15</f>
        <v>4198</v>
      </c>
      <c r="H15" s="87">
        <f ca="1">'FE-D3 (ADSM)'!K15</f>
        <v>3420</v>
      </c>
    </row>
    <row r="16" spans="2:22">
      <c r="C16" s="21">
        <v>-2</v>
      </c>
      <c r="D16" s="22">
        <f>'FE-T1'!$BE$1+C16</f>
        <v>2022</v>
      </c>
      <c r="E16" s="97">
        <f ca="1">'FE-D3 (ADSM)'!D16</f>
        <v>4074</v>
      </c>
      <c r="F16" s="97">
        <f ca="1">'FE-D3 (ADSM)'!G16</f>
        <v>3794</v>
      </c>
      <c r="G16" s="97">
        <f ca="1">'FE-D3 (ADSM)'!H16</f>
        <v>4074</v>
      </c>
      <c r="H16" s="87">
        <f ca="1">'FE-D3 (ADSM)'!K16</f>
        <v>3794</v>
      </c>
      <c r="M16" s="3" t="s">
        <v>136</v>
      </c>
      <c r="N16" s="3"/>
      <c r="O16" s="3"/>
      <c r="P16" s="3"/>
      <c r="Q16" s="3"/>
      <c r="R16" s="3" t="s">
        <v>207</v>
      </c>
      <c r="S16" s="3"/>
      <c r="T16" s="3"/>
      <c r="U16" s="3"/>
      <c r="V16" s="3" t="s">
        <v>137</v>
      </c>
    </row>
    <row r="17" spans="3:22">
      <c r="C17" s="21">
        <v>-1</v>
      </c>
      <c r="D17" s="22">
        <f>'FE-T1'!$BE$1+C17</f>
        <v>2023</v>
      </c>
      <c r="E17" s="97">
        <f ca="1">'FE-D3 (ADSM)'!D17</f>
        <v>4031</v>
      </c>
      <c r="F17" s="97">
        <f ca="1">'FE-D3 (ADSM)'!G17</f>
        <v>3739</v>
      </c>
      <c r="G17" s="97">
        <f ca="1">'FE-D3 (ADSM)'!H17</f>
        <v>4031</v>
      </c>
      <c r="H17" s="87">
        <f ca="1">'FE-D3 (ADSM)'!K17</f>
        <v>3739</v>
      </c>
      <c r="M17" s="3"/>
      <c r="N17" s="3"/>
      <c r="O17" s="3"/>
      <c r="P17" s="3"/>
      <c r="Q17" s="3"/>
      <c r="R17" s="3"/>
      <c r="T17" s="3"/>
      <c r="V17" s="3"/>
    </row>
    <row r="18" spans="3:22">
      <c r="C18" s="21">
        <v>0</v>
      </c>
      <c r="D18" s="22">
        <f>'FE-T1'!$BE$1+C18</f>
        <v>2024</v>
      </c>
      <c r="E18" s="228">
        <f ca="1">'FE-D3 (ADSM)'!D18</f>
        <v>3997.2000607025307</v>
      </c>
      <c r="F18" s="228">
        <f ca="1">'FE-D3 (ADSM)'!G18</f>
        <v>3482.179251489913</v>
      </c>
      <c r="G18" s="228">
        <f ca="1">'FE-D3 (ADSM)'!H18</f>
        <v>3997.2000607025307</v>
      </c>
      <c r="H18" s="229">
        <f ca="1">'FE-D3 (ADSM)'!K18</f>
        <v>3482.179251489913</v>
      </c>
      <c r="L18">
        <f>D18</f>
        <v>2024</v>
      </c>
      <c r="M18" s="190">
        <f ca="1">E18-'FE-D3 (ADSM)'!D18</f>
        <v>0</v>
      </c>
      <c r="N18" s="190">
        <f ca="1">F18-'FE-D3 (ADSM)'!G18</f>
        <v>0</v>
      </c>
      <c r="O18" s="190">
        <f ca="1">G18-'FE-D3 (ADSM)'!H18</f>
        <v>0</v>
      </c>
      <c r="P18" s="190">
        <f ca="1">H18-'FE-D3 (ADSM)'!K18</f>
        <v>0</v>
      </c>
      <c r="R18" s="190">
        <f ca="1">E18-'FE-D6 (BDSM) &amp; (ADSM)'!L16</f>
        <v>0</v>
      </c>
      <c r="T18" s="190">
        <f ca="1">G18-'FE-D6 (BDSM) &amp; (ADSM)'!P16</f>
        <v>0</v>
      </c>
      <c r="V18" s="190">
        <f ca="1">'FE-T4'!C18-G18</f>
        <v>0</v>
      </c>
    </row>
    <row r="19" spans="3:22">
      <c r="C19" s="21">
        <v>1</v>
      </c>
      <c r="D19" s="22">
        <f>'FE-T1'!$BE$1+C19</f>
        <v>2025</v>
      </c>
      <c r="E19" s="228">
        <f ca="1">'FE-D3 (ADSM)'!D19</f>
        <v>4003.0604601966052</v>
      </c>
      <c r="F19" s="228">
        <f ca="1">'FE-D3 (ADSM)'!G19</f>
        <v>3483.4468980268907</v>
      </c>
      <c r="G19" s="228">
        <f ca="1">'FE-D3 (ADSM)'!H19</f>
        <v>4003.0604601966052</v>
      </c>
      <c r="H19" s="229">
        <f ca="1">'FE-D3 (ADSM)'!K19</f>
        <v>3483.4468980268907</v>
      </c>
      <c r="L19">
        <f>D19</f>
        <v>2025</v>
      </c>
      <c r="M19" s="190">
        <f ca="1">E19-'FE-D3 (ADSM)'!D19</f>
        <v>0</v>
      </c>
      <c r="N19" s="190">
        <f ca="1">F19-'FE-D3 (ADSM)'!G19</f>
        <v>0</v>
      </c>
      <c r="O19" s="190">
        <f ca="1">G19-'FE-D3 (ADSM)'!H19</f>
        <v>0</v>
      </c>
      <c r="P19" s="190">
        <f ca="1">H19-'FE-D3 (ADSM)'!K19</f>
        <v>0</v>
      </c>
      <c r="R19" s="190">
        <f ca="1">E19-'FE-D6 (BDSM) &amp; (ADSM)'!L31</f>
        <v>0</v>
      </c>
      <c r="T19" s="190">
        <f ca="1">G19-'FE-D6 (BDSM) &amp; (ADSM)'!P31</f>
        <v>0</v>
      </c>
      <c r="V19" s="190">
        <f ca="1">'FE-T4'!C33-G19</f>
        <v>0</v>
      </c>
    </row>
    <row r="20" spans="3:22">
      <c r="C20" s="21">
        <v>2</v>
      </c>
      <c r="D20" s="22">
        <f>'FE-T1'!$BE$1+C20</f>
        <v>2026</v>
      </c>
      <c r="E20" s="228">
        <f ca="1">'FE-D3 (ADSM)'!D20</f>
        <v>4005.1436654751956</v>
      </c>
      <c r="F20" s="228">
        <f ca="1">'FE-D3 (ADSM)'!G20</f>
        <v>3484.0123677965448</v>
      </c>
      <c r="G20" s="228">
        <f ca="1">'FE-D3 (ADSM)'!H20</f>
        <v>4005.1436654751956</v>
      </c>
      <c r="H20" s="229">
        <f ca="1">'FE-D3 (ADSM)'!K20</f>
        <v>3484.0123677965448</v>
      </c>
    </row>
    <row r="21" spans="3:22">
      <c r="C21" s="21">
        <v>3</v>
      </c>
      <c r="D21" s="22">
        <f>'FE-T1'!$BE$1+C21</f>
        <v>2027</v>
      </c>
      <c r="E21" s="228">
        <f ca="1">'FE-D3 (ADSM)'!D21</f>
        <v>4008.3471823475015</v>
      </c>
      <c r="F21" s="228">
        <f ca="1">'FE-D3 (ADSM)'!G21</f>
        <v>3489.3374821864095</v>
      </c>
      <c r="G21" s="228">
        <f ca="1">'FE-D3 (ADSM)'!H21</f>
        <v>4008.3471823475015</v>
      </c>
      <c r="H21" s="229">
        <f ca="1">'FE-D3 (ADSM)'!K21</f>
        <v>3489.3374821864095</v>
      </c>
    </row>
    <row r="22" spans="3:22">
      <c r="C22" s="21">
        <v>4</v>
      </c>
      <c r="D22" s="22">
        <f>'FE-T1'!$BE$1+C22</f>
        <v>2028</v>
      </c>
      <c r="E22" s="228">
        <f ca="1">'FE-D3 (ADSM)'!D22</f>
        <v>4013.6000549765981</v>
      </c>
      <c r="F22" s="228">
        <f ca="1">'FE-D3 (ADSM)'!G22</f>
        <v>3527.3986492988129</v>
      </c>
      <c r="G22" s="228">
        <f ca="1">'FE-D3 (ADSM)'!H22</f>
        <v>4013.6000549765981</v>
      </c>
      <c r="H22" s="229">
        <f ca="1">'FE-D3 (ADSM)'!K22</f>
        <v>3527.3986492988129</v>
      </c>
      <c r="Q22" s="3"/>
    </row>
    <row r="23" spans="3:22">
      <c r="C23" s="21">
        <v>5</v>
      </c>
      <c r="D23" s="22">
        <f>'FE-T1'!$BE$1+C23</f>
        <v>2029</v>
      </c>
      <c r="E23" s="228">
        <f ca="1">'FE-D3 (ADSM)'!D23</f>
        <v>4020.7183796378868</v>
      </c>
      <c r="F23" s="228">
        <f ca="1">'FE-D3 (ADSM)'!G23</f>
        <v>3545.5760138247738</v>
      </c>
      <c r="G23" s="228">
        <f ca="1">'FE-D3 (ADSM)'!H23</f>
        <v>4020.7183796378868</v>
      </c>
      <c r="H23" s="229">
        <f ca="1">'FE-D3 (ADSM)'!K23</f>
        <v>3545.5760138247738</v>
      </c>
      <c r="Q23" s="3"/>
    </row>
    <row r="24" spans="3:22">
      <c r="C24" s="21">
        <v>6</v>
      </c>
      <c r="D24" s="22">
        <f>'FE-T1'!$BE$1+C24</f>
        <v>2030</v>
      </c>
      <c r="E24" s="228">
        <f ca="1">'FE-D3 (ADSM)'!D24</f>
        <v>4028.0302387399329</v>
      </c>
      <c r="F24" s="228">
        <f ca="1">'FE-D3 (ADSM)'!G24</f>
        <v>3512.9978210670592</v>
      </c>
      <c r="G24" s="228">
        <f ca="1">'FE-D3 (ADSM)'!H24</f>
        <v>4028.0302387399329</v>
      </c>
      <c r="H24" s="229">
        <f ca="1">'FE-D3 (ADSM)'!K24</f>
        <v>3512.9978210670592</v>
      </c>
    </row>
    <row r="25" spans="3:22">
      <c r="C25" s="21">
        <v>7</v>
      </c>
      <c r="D25" s="22">
        <f>'FE-T1'!$BE$1+C25</f>
        <v>2031</v>
      </c>
      <c r="E25" s="228">
        <f ca="1">'FE-D3 (ADSM)'!D25</f>
        <v>4042.4106355128965</v>
      </c>
      <c r="F25" s="228">
        <f ca="1">'FE-D3 (ADSM)'!G25</f>
        <v>3518.1805723913799</v>
      </c>
      <c r="G25" s="228">
        <f ca="1">'FE-D3 (ADSM)'!H25</f>
        <v>4042.4106355128965</v>
      </c>
      <c r="H25" s="229">
        <f ca="1">'FE-D3 (ADSM)'!K25</f>
        <v>3518.1805723913799</v>
      </c>
    </row>
    <row r="26" spans="3:22">
      <c r="C26" s="21">
        <v>8</v>
      </c>
      <c r="D26" s="22">
        <f>'FE-T1'!$BE$1+C26</f>
        <v>2032</v>
      </c>
      <c r="E26" s="228">
        <f ca="1">'FE-D3 (ADSM)'!D26</f>
        <v>4075.7727992647506</v>
      </c>
      <c r="F26" s="228">
        <f ca="1">'FE-D3 (ADSM)'!G26</f>
        <v>3535.0301810829319</v>
      </c>
      <c r="G26" s="228">
        <f ca="1">'FE-D3 (ADSM)'!H26</f>
        <v>4075.7727992647506</v>
      </c>
      <c r="H26" s="229">
        <f ca="1">'FE-D3 (ADSM)'!K26</f>
        <v>3535.0301810829319</v>
      </c>
    </row>
    <row r="27" spans="3:22">
      <c r="C27" s="21">
        <v>9</v>
      </c>
      <c r="D27" s="22">
        <f>'FE-T1'!$BE$1+C27</f>
        <v>2033</v>
      </c>
      <c r="E27" s="228">
        <f ca="1">'FE-D3 (ADSM)'!D27</f>
        <v>4112.8649506433221</v>
      </c>
      <c r="F27" s="228">
        <f ca="1">'FE-D3 (ADSM)'!G27</f>
        <v>3681.2302566661606</v>
      </c>
      <c r="G27" s="228">
        <f ca="1">'FE-D3 (ADSM)'!H27</f>
        <v>4112.8649506433221</v>
      </c>
      <c r="H27" s="229">
        <f ca="1">'FE-D3 (ADSM)'!K27</f>
        <v>3681.2302566661606</v>
      </c>
      <c r="L27" s="3"/>
      <c r="N27" s="3"/>
      <c r="O27" s="3"/>
      <c r="P27" s="3"/>
      <c r="Q27" s="3"/>
    </row>
    <row r="28" spans="3:22" ht="13.5" thickBot="1">
      <c r="C28" s="61">
        <v>10</v>
      </c>
      <c r="D28" s="62">
        <f>'FE-T1'!$BE$1+C28</f>
        <v>2034</v>
      </c>
      <c r="E28" s="234">
        <f ca="1">'FE-D3 (ADSM)'!D28</f>
        <v>4139.4452874864483</v>
      </c>
      <c r="F28" s="234">
        <f ca="1">'FE-D3 (ADSM)'!G28</f>
        <v>3736.4434426168928</v>
      </c>
      <c r="G28" s="234">
        <f ca="1">'FE-D3 (ADSM)'!H28</f>
        <v>4139.4452874864483</v>
      </c>
      <c r="H28" s="274">
        <f ca="1">'FE-D3 (ADSM)'!K28</f>
        <v>3736.4434426168928</v>
      </c>
      <c r="J28" s="124"/>
      <c r="L28" s="3"/>
      <c r="N28" s="3"/>
      <c r="O28" s="3"/>
      <c r="P28" s="3"/>
      <c r="Q28" s="3"/>
    </row>
    <row r="29" spans="3:22">
      <c r="C29" s="215"/>
      <c r="D29" s="215"/>
      <c r="E29" s="216"/>
      <c r="F29" s="216"/>
      <c r="G29" s="216"/>
      <c r="H29" s="216"/>
      <c r="J29" s="124"/>
      <c r="L29" s="3"/>
    </row>
    <row r="30" spans="3:22">
      <c r="C30" s="92" t="s">
        <v>75</v>
      </c>
      <c r="D30" s="92"/>
      <c r="E30" s="92"/>
      <c r="F30" s="92"/>
      <c r="G30" s="92"/>
      <c r="H30" s="92"/>
    </row>
    <row r="31" spans="3:22">
      <c r="C31" s="92" t="s">
        <v>76</v>
      </c>
      <c r="D31" s="92"/>
      <c r="E31" s="92"/>
      <c r="F31" s="92"/>
      <c r="G31" s="92"/>
      <c r="H31" s="92"/>
    </row>
    <row r="32" spans="3:22">
      <c r="C32" s="92" t="s">
        <v>77</v>
      </c>
      <c r="D32" s="92"/>
      <c r="E32" s="92"/>
      <c r="F32" s="92"/>
      <c r="G32" s="92"/>
      <c r="H32" s="92"/>
    </row>
    <row r="33" spans="3:8">
      <c r="C33" s="92" t="s">
        <v>198</v>
      </c>
      <c r="D33" s="92"/>
      <c r="E33" s="92"/>
      <c r="F33" s="92"/>
      <c r="G33" s="92"/>
      <c r="H33" s="92"/>
    </row>
    <row r="34" spans="3:8">
      <c r="C34" s="92" t="s">
        <v>78</v>
      </c>
      <c r="D34" s="92"/>
      <c r="E34" s="92"/>
      <c r="F34" s="92"/>
      <c r="G34" s="92"/>
      <c r="H34" s="92"/>
    </row>
    <row r="35" spans="3:8">
      <c r="C35" s="92" t="s">
        <v>147</v>
      </c>
      <c r="D35" s="92"/>
      <c r="E35" s="92"/>
      <c r="F35" s="92"/>
      <c r="G35" s="92"/>
      <c r="H35" s="92"/>
    </row>
    <row r="36" spans="3:8">
      <c r="C36" s="111"/>
      <c r="D36" s="109"/>
    </row>
    <row r="38" spans="3:8">
      <c r="F38" s="91"/>
    </row>
    <row r="39" spans="3:8">
      <c r="F39" s="91"/>
    </row>
  </sheetData>
  <mergeCells count="1">
    <mergeCell ref="C6:H6"/>
  </mergeCells>
  <pageMargins left="0.7" right="0.7" top="0.75" bottom="0.75" header="0.3" footer="0.3"/>
  <pageSetup scale="53" orientation="landscape" horizontalDpi="300" verticalDpi="300" r:id="rId1"/>
  <headerFooter>
    <oddHeader xml:space="preserve">&amp;R&amp;"Times New Roman,Bold"PUCO Case No. 24-503-EL-FOR
Source Files
Work Tables
Page &amp;P of &amp;N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53"/>
  <sheetViews>
    <sheetView showGridLines="0" view="pageLayout" zoomScaleNormal="90" workbookViewId="0">
      <selection activeCell="J10" sqref="J10"/>
    </sheetView>
  </sheetViews>
  <sheetFormatPr defaultRowHeight="12.75"/>
  <cols>
    <col min="2" max="2" width="15.5703125" customWidth="1"/>
    <col min="3" max="3" width="30.7109375" style="1" customWidth="1"/>
    <col min="4" max="5" width="30.7109375" customWidth="1"/>
    <col min="6" max="6" width="16" bestFit="1" customWidth="1"/>
    <col min="7" max="7" width="12.5703125" bestFit="1" customWidth="1"/>
  </cols>
  <sheetData>
    <row r="1" spans="2:13" s="3" customFormat="1" ht="15">
      <c r="C1" s="2"/>
      <c r="E1" s="26"/>
      <c r="G1" s="197"/>
    </row>
    <row r="2" spans="2:13" s="3" customFormat="1">
      <c r="C2" s="2"/>
    </row>
    <row r="3" spans="2:13">
      <c r="B3" s="2"/>
      <c r="C3" s="2"/>
      <c r="D3" s="2"/>
      <c r="E3" s="3"/>
      <c r="F3" s="2"/>
    </row>
    <row r="4" spans="2:13">
      <c r="B4" s="2"/>
      <c r="C4" s="2"/>
      <c r="D4" s="2"/>
      <c r="E4" s="3"/>
      <c r="F4" s="2"/>
    </row>
    <row r="5" spans="2:13">
      <c r="B5" s="352" t="s">
        <v>146</v>
      </c>
      <c r="C5" s="353"/>
      <c r="D5" s="353"/>
      <c r="E5" s="353"/>
      <c r="F5" s="4"/>
    </row>
    <row r="6" spans="2:13">
      <c r="B6" s="5"/>
      <c r="C6" s="5"/>
      <c r="D6" s="5"/>
      <c r="E6" s="6"/>
      <c r="F6" s="2"/>
      <c r="K6" s="3"/>
      <c r="L6" s="3"/>
      <c r="M6" s="3"/>
    </row>
    <row r="7" spans="2:13">
      <c r="B7" s="354" t="s">
        <v>0</v>
      </c>
      <c r="C7" s="354"/>
      <c r="D7" s="354"/>
      <c r="E7" s="354"/>
      <c r="F7" s="8"/>
      <c r="K7" s="3"/>
      <c r="L7" s="3"/>
      <c r="M7" s="3"/>
    </row>
    <row r="8" spans="2:13">
      <c r="B8" s="6"/>
      <c r="C8" s="5"/>
      <c r="D8" s="5"/>
      <c r="E8" s="6"/>
      <c r="F8" s="3"/>
      <c r="K8" s="3"/>
      <c r="L8" s="3"/>
      <c r="M8" s="3"/>
    </row>
    <row r="9" spans="2:13" ht="13.5" thickBot="1">
      <c r="B9" s="355" t="s">
        <v>1</v>
      </c>
      <c r="C9" s="355"/>
      <c r="D9" s="355"/>
      <c r="E9" s="355"/>
      <c r="F9" s="3"/>
      <c r="I9" s="3" t="s">
        <v>138</v>
      </c>
      <c r="J9" s="3"/>
      <c r="K9" s="3"/>
      <c r="L9" s="3"/>
      <c r="M9" s="3"/>
    </row>
    <row r="10" spans="2:13">
      <c r="B10" s="9" t="str">
        <f>CONCATENATE('FE-T1'!$BE$1, " (d)")</f>
        <v>2024 (d)</v>
      </c>
      <c r="C10" s="10" t="s">
        <v>2</v>
      </c>
      <c r="D10" s="10" t="s">
        <v>3</v>
      </c>
      <c r="E10" s="11" t="s">
        <v>4</v>
      </c>
      <c r="F10" s="12"/>
      <c r="G10" s="13"/>
      <c r="I10" s="3"/>
      <c r="J10" s="3"/>
      <c r="K10" s="3"/>
      <c r="L10" s="3"/>
      <c r="M10" s="3"/>
    </row>
    <row r="11" spans="2:13">
      <c r="B11" s="21"/>
      <c r="C11" s="22"/>
      <c r="D11" s="22"/>
      <c r="E11" s="23"/>
      <c r="F11" s="14"/>
      <c r="G11" s="13"/>
      <c r="K11" s="3"/>
      <c r="L11" s="3"/>
      <c r="M11" s="3"/>
    </row>
    <row r="12" spans="2:13">
      <c r="B12" s="24" t="s">
        <v>5</v>
      </c>
      <c r="C12" s="226">
        <f ca="1">'FE-D5 (BDSM) &amp; (ADSM)'!O10</f>
        <v>1763598.3532841555</v>
      </c>
      <c r="D12" s="203">
        <f ca="1">C12</f>
        <v>1763598.3532841555</v>
      </c>
      <c r="E12" s="204">
        <f ca="1">C12</f>
        <v>1763598.3532841555</v>
      </c>
      <c r="F12" s="16"/>
      <c r="G12" s="13"/>
      <c r="H12" s="293" t="str">
        <f>CONCATENATE(LEFT(B12,3)," ",LEFT(B$10,4))</f>
        <v>Jan 2024</v>
      </c>
      <c r="I12" s="190">
        <f ca="1">'FE-D5 (BDSM) &amp; (ADSM)'!O10-C12</f>
        <v>0</v>
      </c>
    </row>
    <row r="13" spans="2:13">
      <c r="B13" s="24" t="s">
        <v>6</v>
      </c>
      <c r="C13" s="226">
        <f ca="1">'FE-D5 (BDSM) &amp; (ADSM)'!O11</f>
        <v>1755422.1798722316</v>
      </c>
      <c r="D13" s="203">
        <f t="shared" ref="D13:D23" ca="1" si="0">C13</f>
        <v>1755422.1798722316</v>
      </c>
      <c r="E13" s="204">
        <f t="shared" ref="E13:E23" ca="1" si="1">C13</f>
        <v>1755422.1798722316</v>
      </c>
      <c r="F13" s="16"/>
      <c r="G13" s="13"/>
      <c r="H13" s="293" t="str">
        <f t="shared" ref="H13:H23" si="2">CONCATENATE(LEFT(B13,3)," ",LEFT(B$10,4))</f>
        <v>Feb 2024</v>
      </c>
      <c r="I13" s="190">
        <f ca="1">'FE-D5 (BDSM) &amp; (ADSM)'!O11-C13</f>
        <v>0</v>
      </c>
    </row>
    <row r="14" spans="2:13">
      <c r="B14" s="24" t="s">
        <v>7</v>
      </c>
      <c r="C14" s="226">
        <f ca="1">'FE-D5 (BDSM) &amp; (ADSM)'!O12</f>
        <v>1672470.6623753286</v>
      </c>
      <c r="D14" s="203">
        <f t="shared" ca="1" si="0"/>
        <v>1672470.6623753286</v>
      </c>
      <c r="E14" s="204">
        <f t="shared" ca="1" si="1"/>
        <v>1672470.6623753286</v>
      </c>
      <c r="F14" s="16"/>
      <c r="G14" s="13"/>
      <c r="H14" s="293" t="str">
        <f t="shared" si="2"/>
        <v>Mar 2024</v>
      </c>
      <c r="I14" s="190">
        <f ca="1">'FE-D5 (BDSM) &amp; (ADSM)'!O12-C14</f>
        <v>0</v>
      </c>
    </row>
    <row r="15" spans="2:13">
      <c r="B15" s="24" t="s">
        <v>8</v>
      </c>
      <c r="C15" s="226">
        <f ca="1">'FE-D5 (BDSM) &amp; (ADSM)'!O13</f>
        <v>1534980.4968939016</v>
      </c>
      <c r="D15" s="203">
        <f t="shared" ca="1" si="0"/>
        <v>1534980.4968939016</v>
      </c>
      <c r="E15" s="204">
        <f t="shared" ca="1" si="1"/>
        <v>1534980.4968939016</v>
      </c>
      <c r="F15" s="16"/>
      <c r="G15" s="13"/>
      <c r="H15" s="293" t="str">
        <f t="shared" si="2"/>
        <v>Apr 2024</v>
      </c>
      <c r="I15" s="190">
        <f ca="1">'FE-D5 (BDSM) &amp; (ADSM)'!O13-C15</f>
        <v>0</v>
      </c>
    </row>
    <row r="16" spans="2:13">
      <c r="B16" s="24" t="s">
        <v>9</v>
      </c>
      <c r="C16" s="226">
        <f ca="1">'FE-D5 (BDSM) &amp; (ADSM)'!O14</f>
        <v>1528261.5136674175</v>
      </c>
      <c r="D16" s="203">
        <f t="shared" ca="1" si="0"/>
        <v>1528261.5136674175</v>
      </c>
      <c r="E16" s="204">
        <f t="shared" ca="1" si="1"/>
        <v>1528261.5136674175</v>
      </c>
      <c r="F16" s="16"/>
      <c r="G16" s="13"/>
      <c r="H16" s="293" t="str">
        <f t="shared" si="2"/>
        <v>May 2024</v>
      </c>
      <c r="I16" s="190">
        <f ca="1">'FE-D5 (BDSM) &amp; (ADSM)'!O14-C16</f>
        <v>0</v>
      </c>
    </row>
    <row r="17" spans="2:9">
      <c r="B17" s="24" t="s">
        <v>10</v>
      </c>
      <c r="C17" s="226">
        <f ca="1">'FE-D5 (BDSM) &amp; (ADSM)'!O15</f>
        <v>1866469.9477861773</v>
      </c>
      <c r="D17" s="203">
        <f t="shared" ca="1" si="0"/>
        <v>1866469.9477861773</v>
      </c>
      <c r="E17" s="204">
        <f t="shared" ca="1" si="1"/>
        <v>1866469.9477861773</v>
      </c>
      <c r="F17" s="16"/>
      <c r="G17" s="13"/>
      <c r="H17" s="293" t="str">
        <f t="shared" si="2"/>
        <v>Jun 2024</v>
      </c>
      <c r="I17" s="190">
        <f ca="1">'FE-D5 (BDSM) &amp; (ADSM)'!O15-C17</f>
        <v>0</v>
      </c>
    </row>
    <row r="18" spans="2:9">
      <c r="B18" s="24" t="s">
        <v>11</v>
      </c>
      <c r="C18" s="226">
        <f ca="1">'FE-D5 (BDSM) &amp; (ADSM)'!O16</f>
        <v>2042590.3007078911</v>
      </c>
      <c r="D18" s="203">
        <f t="shared" ca="1" si="0"/>
        <v>2042590.3007078911</v>
      </c>
      <c r="E18" s="204">
        <f t="shared" ca="1" si="1"/>
        <v>2042590.3007078911</v>
      </c>
      <c r="F18" s="16"/>
      <c r="G18" s="13"/>
      <c r="H18" s="293" t="str">
        <f t="shared" si="2"/>
        <v>Jul 2024</v>
      </c>
      <c r="I18" s="190">
        <f ca="1">'FE-D5 (BDSM) &amp; (ADSM)'!O16-C18</f>
        <v>0</v>
      </c>
    </row>
    <row r="19" spans="2:9">
      <c r="B19" s="24" t="s">
        <v>12</v>
      </c>
      <c r="C19" s="226">
        <f ca="1">'FE-D5 (BDSM) &amp; (ADSM)'!O17</f>
        <v>2051861.2792010775</v>
      </c>
      <c r="D19" s="203">
        <f t="shared" ca="1" si="0"/>
        <v>2051861.2792010775</v>
      </c>
      <c r="E19" s="204">
        <f t="shared" ca="1" si="1"/>
        <v>2051861.2792010775</v>
      </c>
      <c r="F19" s="16"/>
      <c r="G19" s="13"/>
      <c r="H19" s="293" t="str">
        <f t="shared" si="2"/>
        <v>Aug 2024</v>
      </c>
      <c r="I19" s="190">
        <f ca="1">'FE-D5 (BDSM) &amp; (ADSM)'!O17-C19</f>
        <v>0</v>
      </c>
    </row>
    <row r="20" spans="2:9">
      <c r="B20" s="24" t="s">
        <v>13</v>
      </c>
      <c r="C20" s="226">
        <f ca="1">'FE-D5 (BDSM) &amp; (ADSM)'!O18</f>
        <v>1756292.0457759581</v>
      </c>
      <c r="D20" s="203">
        <f t="shared" ca="1" si="0"/>
        <v>1756292.0457759581</v>
      </c>
      <c r="E20" s="204">
        <f t="shared" ca="1" si="1"/>
        <v>1756292.0457759581</v>
      </c>
      <c r="F20" s="16"/>
      <c r="G20" s="13"/>
      <c r="H20" s="293" t="str">
        <f t="shared" si="2"/>
        <v>Sep 2024</v>
      </c>
      <c r="I20" s="190">
        <f ca="1">'FE-D5 (BDSM) &amp; (ADSM)'!O18-C20</f>
        <v>0</v>
      </c>
    </row>
    <row r="21" spans="2:9">
      <c r="B21" s="24" t="s">
        <v>14</v>
      </c>
      <c r="C21" s="226">
        <f ca="1">'FE-D5 (BDSM) &amp; (ADSM)'!O19</f>
        <v>1574934.4322736112</v>
      </c>
      <c r="D21" s="203">
        <f t="shared" ca="1" si="0"/>
        <v>1574934.4322736112</v>
      </c>
      <c r="E21" s="204">
        <f t="shared" ca="1" si="1"/>
        <v>1574934.4322736112</v>
      </c>
      <c r="F21" s="16"/>
      <c r="G21" s="13"/>
      <c r="H21" s="293" t="str">
        <f t="shared" si="2"/>
        <v>Oct 2024</v>
      </c>
      <c r="I21" s="190">
        <f ca="1">'FE-D5 (BDSM) &amp; (ADSM)'!O19-C21</f>
        <v>0</v>
      </c>
    </row>
    <row r="22" spans="2:9">
      <c r="B22" s="24" t="s">
        <v>15</v>
      </c>
      <c r="C22" s="226">
        <f ca="1">'FE-D5 (BDSM) &amp; (ADSM)'!O20</f>
        <v>1619264.6608637637</v>
      </c>
      <c r="D22" s="203">
        <f t="shared" ca="1" si="0"/>
        <v>1619264.6608637637</v>
      </c>
      <c r="E22" s="204">
        <f t="shared" ca="1" si="1"/>
        <v>1619264.6608637637</v>
      </c>
      <c r="F22" s="16"/>
      <c r="G22" s="13"/>
      <c r="H22" s="293" t="str">
        <f t="shared" si="2"/>
        <v>Nov 2024</v>
      </c>
      <c r="I22" s="190">
        <f ca="1">'FE-D5 (BDSM) &amp; (ADSM)'!O20-C22</f>
        <v>0</v>
      </c>
    </row>
    <row r="23" spans="2:9">
      <c r="B23" s="24" t="s">
        <v>16</v>
      </c>
      <c r="C23" s="226">
        <f ca="1">'FE-D5 (BDSM) &amp; (ADSM)'!O21</f>
        <v>1873707.2665716475</v>
      </c>
      <c r="D23" s="203">
        <f t="shared" ca="1" si="0"/>
        <v>1873707.2665716475</v>
      </c>
      <c r="E23" s="204">
        <f t="shared" ca="1" si="1"/>
        <v>1873707.2665716475</v>
      </c>
      <c r="F23" s="16"/>
      <c r="G23" s="13"/>
      <c r="H23" s="293" t="str">
        <f t="shared" si="2"/>
        <v>Dec 2024</v>
      </c>
      <c r="I23" s="190">
        <f ca="1">'FE-D5 (BDSM) &amp; (ADSM)'!O21-C23</f>
        <v>0</v>
      </c>
    </row>
    <row r="24" spans="2:9">
      <c r="B24" s="21"/>
      <c r="C24" s="224"/>
      <c r="D24" s="203"/>
      <c r="E24" s="204"/>
      <c r="F24" s="14"/>
      <c r="G24" s="13"/>
      <c r="I24" s="3"/>
    </row>
    <row r="25" spans="2:9">
      <c r="B25" s="196" t="str">
        <f>CONCATENATE('FE-T1'!$BE$1+1, " (d)")</f>
        <v>2025 (d)</v>
      </c>
      <c r="C25" s="224"/>
      <c r="D25" s="203"/>
      <c r="E25" s="204"/>
      <c r="F25" s="14"/>
      <c r="G25" s="13"/>
      <c r="I25" s="3"/>
    </row>
    <row r="26" spans="2:9">
      <c r="B26" s="21"/>
      <c r="C26" s="224"/>
      <c r="D26" s="203"/>
      <c r="E26" s="204"/>
      <c r="F26" s="14"/>
      <c r="G26" s="13"/>
      <c r="I26" s="3"/>
    </row>
    <row r="27" spans="2:9">
      <c r="B27" s="24" t="s">
        <v>5</v>
      </c>
      <c r="C27" s="226">
        <f ca="1">'FE-D5 (BDSM) &amp; (ADSM)'!O25</f>
        <v>1890088.1113045283</v>
      </c>
      <c r="D27" s="203">
        <f t="shared" ref="D27:D38" ca="1" si="3">C27</f>
        <v>1890088.1113045283</v>
      </c>
      <c r="E27" s="204">
        <f t="shared" ref="E27:E38" ca="1" si="4">C27</f>
        <v>1890088.1113045283</v>
      </c>
      <c r="F27" s="16"/>
      <c r="G27" s="13"/>
      <c r="H27" s="293" t="str">
        <f>CONCATENATE(LEFT(B27,3)," ",LEFT(B$25,4))</f>
        <v>Jan 2025</v>
      </c>
      <c r="I27" s="190">
        <f ca="1">'FE-D5 (BDSM) &amp; (ADSM)'!O25-C27</f>
        <v>0</v>
      </c>
    </row>
    <row r="28" spans="2:9">
      <c r="B28" s="24" t="s">
        <v>6</v>
      </c>
      <c r="C28" s="226">
        <f ca="1">'FE-D5 (BDSM) &amp; (ADSM)'!O26</f>
        <v>1765893.4740687532</v>
      </c>
      <c r="D28" s="203">
        <f t="shared" ca="1" si="3"/>
        <v>1765893.4740687532</v>
      </c>
      <c r="E28" s="204">
        <f t="shared" ca="1" si="4"/>
        <v>1765893.4740687532</v>
      </c>
      <c r="F28" s="16"/>
      <c r="G28" s="13"/>
      <c r="H28" s="293" t="str">
        <f t="shared" ref="H28:H38" si="5">CONCATENATE(LEFT(B28,3)," ",LEFT(B$25,4))</f>
        <v>Feb 2025</v>
      </c>
      <c r="I28" s="190">
        <f ca="1">'FE-D5 (BDSM) &amp; (ADSM)'!O26-C28</f>
        <v>0</v>
      </c>
    </row>
    <row r="29" spans="2:9">
      <c r="B29" s="24" t="s">
        <v>7</v>
      </c>
      <c r="C29" s="226">
        <f ca="1">'FE-D5 (BDSM) &amp; (ADSM)'!O27</f>
        <v>1686406.6559023038</v>
      </c>
      <c r="D29" s="203">
        <f t="shared" ca="1" si="3"/>
        <v>1686406.6559023038</v>
      </c>
      <c r="E29" s="204">
        <f t="shared" ca="1" si="4"/>
        <v>1686406.6559023038</v>
      </c>
      <c r="F29" s="16"/>
      <c r="G29" s="13"/>
      <c r="H29" s="293" t="str">
        <f t="shared" si="5"/>
        <v>Mar 2025</v>
      </c>
      <c r="I29" s="190">
        <f ca="1">'FE-D5 (BDSM) &amp; (ADSM)'!O27-C29</f>
        <v>0</v>
      </c>
    </row>
    <row r="30" spans="2:9">
      <c r="B30" s="24" t="s">
        <v>8</v>
      </c>
      <c r="C30" s="226">
        <f ca="1">'FE-D5 (BDSM) &amp; (ADSM)'!O28</f>
        <v>1548099.5119720518</v>
      </c>
      <c r="D30" s="203">
        <f t="shared" ca="1" si="3"/>
        <v>1548099.5119720518</v>
      </c>
      <c r="E30" s="204">
        <f t="shared" ca="1" si="4"/>
        <v>1548099.5119720518</v>
      </c>
      <c r="F30" s="16"/>
      <c r="G30" s="13"/>
      <c r="H30" s="293" t="str">
        <f t="shared" si="5"/>
        <v>Apr 2025</v>
      </c>
      <c r="I30" s="190">
        <f ca="1">'FE-D5 (BDSM) &amp; (ADSM)'!O28-C30</f>
        <v>0</v>
      </c>
    </row>
    <row r="31" spans="2:9">
      <c r="B31" s="24" t="s">
        <v>9</v>
      </c>
      <c r="C31" s="226">
        <f ca="1">'FE-D5 (BDSM) &amp; (ADSM)'!O29</f>
        <v>1540556.6783979181</v>
      </c>
      <c r="D31" s="203">
        <f t="shared" ca="1" si="3"/>
        <v>1540556.6783979181</v>
      </c>
      <c r="E31" s="204">
        <f t="shared" ca="1" si="4"/>
        <v>1540556.6783979181</v>
      </c>
      <c r="F31" s="16"/>
      <c r="G31" s="13"/>
      <c r="H31" s="293" t="str">
        <f t="shared" si="5"/>
        <v>May 2025</v>
      </c>
      <c r="I31" s="190">
        <f ca="1">'FE-D5 (BDSM) &amp; (ADSM)'!O29-C31</f>
        <v>0</v>
      </c>
    </row>
    <row r="32" spans="2:9">
      <c r="B32" s="24" t="s">
        <v>10</v>
      </c>
      <c r="C32" s="226">
        <f ca="1">'FE-D5 (BDSM) &amp; (ADSM)'!O30</f>
        <v>1880801.3709529857</v>
      </c>
      <c r="D32" s="203">
        <f t="shared" ca="1" si="3"/>
        <v>1880801.3709529857</v>
      </c>
      <c r="E32" s="204">
        <f t="shared" ca="1" si="4"/>
        <v>1880801.3709529857</v>
      </c>
      <c r="F32" s="16"/>
      <c r="G32" s="13"/>
      <c r="H32" s="293" t="str">
        <f t="shared" si="5"/>
        <v>Jun 2025</v>
      </c>
      <c r="I32" s="190">
        <f ca="1">'FE-D5 (BDSM) &amp; (ADSM)'!O30-C32</f>
        <v>0</v>
      </c>
    </row>
    <row r="33" spans="2:9">
      <c r="B33" s="24" t="s">
        <v>11</v>
      </c>
      <c r="C33" s="226">
        <f ca="1">'FE-D5 (BDSM) &amp; (ADSM)'!O31</f>
        <v>2056600.330833619</v>
      </c>
      <c r="D33" s="203">
        <f t="shared" ca="1" si="3"/>
        <v>2056600.330833619</v>
      </c>
      <c r="E33" s="204">
        <f t="shared" ca="1" si="4"/>
        <v>2056600.330833619</v>
      </c>
      <c r="F33" s="16"/>
      <c r="G33" s="13"/>
      <c r="H33" s="293" t="str">
        <f t="shared" si="5"/>
        <v>Jul 2025</v>
      </c>
      <c r="I33" s="190">
        <f ca="1">'FE-D5 (BDSM) &amp; (ADSM)'!O31-C33</f>
        <v>0</v>
      </c>
    </row>
    <row r="34" spans="2:9">
      <c r="B34" s="24" t="s">
        <v>12</v>
      </c>
      <c r="C34" s="226">
        <f ca="1">'FE-D5 (BDSM) &amp; (ADSM)'!O32</f>
        <v>2067342.4121141832</v>
      </c>
      <c r="D34" s="203">
        <f t="shared" ca="1" si="3"/>
        <v>2067342.4121141832</v>
      </c>
      <c r="E34" s="204">
        <f t="shared" ca="1" si="4"/>
        <v>2067342.4121141832</v>
      </c>
      <c r="F34" s="16"/>
      <c r="G34" s="13"/>
      <c r="H34" s="293" t="str">
        <f t="shared" si="5"/>
        <v>Aug 2025</v>
      </c>
      <c r="I34" s="190">
        <f ca="1">'FE-D5 (BDSM) &amp; (ADSM)'!O32-C34</f>
        <v>0</v>
      </c>
    </row>
    <row r="35" spans="2:9">
      <c r="B35" s="24" t="s">
        <v>13</v>
      </c>
      <c r="C35" s="226">
        <f ca="1">'FE-D5 (BDSM) &amp; (ADSM)'!O33</f>
        <v>1769999.7649866631</v>
      </c>
      <c r="D35" s="203">
        <f t="shared" ca="1" si="3"/>
        <v>1769999.7649866631</v>
      </c>
      <c r="E35" s="204">
        <f t="shared" ca="1" si="4"/>
        <v>1769999.7649866631</v>
      </c>
      <c r="F35" s="16"/>
      <c r="G35" s="13"/>
      <c r="H35" s="293" t="str">
        <f t="shared" si="5"/>
        <v>Sep 2025</v>
      </c>
      <c r="I35" s="190">
        <f ca="1">'FE-D5 (BDSM) &amp; (ADSM)'!O33-C35</f>
        <v>0</v>
      </c>
    </row>
    <row r="36" spans="2:9">
      <c r="B36" s="24" t="s">
        <v>14</v>
      </c>
      <c r="C36" s="226">
        <f ca="1">'FE-D5 (BDSM) &amp; (ADSM)'!O34</f>
        <v>1588566.2240964966</v>
      </c>
      <c r="D36" s="203">
        <f t="shared" ca="1" si="3"/>
        <v>1588566.2240964966</v>
      </c>
      <c r="E36" s="204">
        <f t="shared" ca="1" si="4"/>
        <v>1588566.2240964966</v>
      </c>
      <c r="F36" s="16"/>
      <c r="G36" s="13"/>
      <c r="H36" s="293" t="str">
        <f t="shared" si="5"/>
        <v>Oct 2025</v>
      </c>
      <c r="I36" s="190">
        <f ca="1">'FE-D5 (BDSM) &amp; (ADSM)'!O34-C36</f>
        <v>0</v>
      </c>
    </row>
    <row r="37" spans="2:9">
      <c r="B37" s="24" t="s">
        <v>15</v>
      </c>
      <c r="C37" s="226">
        <f ca="1">'FE-D5 (BDSM) &amp; (ADSM)'!O35</f>
        <v>1632425.6671009723</v>
      </c>
      <c r="D37" s="203">
        <f t="shared" ca="1" si="3"/>
        <v>1632425.6671009723</v>
      </c>
      <c r="E37" s="204">
        <f t="shared" ca="1" si="4"/>
        <v>1632425.6671009723</v>
      </c>
      <c r="F37" s="16"/>
      <c r="G37" s="13"/>
      <c r="H37" s="293" t="str">
        <f t="shared" si="5"/>
        <v>Nov 2025</v>
      </c>
      <c r="I37" s="190">
        <f ca="1">'FE-D5 (BDSM) &amp; (ADSM)'!O35-C37</f>
        <v>0</v>
      </c>
    </row>
    <row r="38" spans="2:9" ht="13.5" thickBot="1">
      <c r="B38" s="25" t="s">
        <v>16</v>
      </c>
      <c r="C38" s="227">
        <f ca="1">'FE-D5 (BDSM) &amp; (ADSM)'!O36</f>
        <v>1887671.5438398507</v>
      </c>
      <c r="D38" s="205">
        <f t="shared" ca="1" si="3"/>
        <v>1887671.5438398507</v>
      </c>
      <c r="E38" s="206">
        <f t="shared" ca="1" si="4"/>
        <v>1887671.5438398507</v>
      </c>
      <c r="F38" s="16"/>
      <c r="G38" s="13"/>
      <c r="H38" s="293" t="str">
        <f t="shared" si="5"/>
        <v>Dec 2025</v>
      </c>
      <c r="I38" s="190">
        <f ca="1">'FE-D5 (BDSM) &amp; (ADSM)'!O36-C38</f>
        <v>0</v>
      </c>
    </row>
    <row r="39" spans="2:9">
      <c r="B39" s="6"/>
      <c r="C39" s="5"/>
      <c r="D39" s="19"/>
      <c r="E39" s="19"/>
      <c r="F39" s="3"/>
      <c r="G39" s="13"/>
    </row>
    <row r="40" spans="2:9">
      <c r="B40" s="175" t="s">
        <v>99</v>
      </c>
      <c r="C40" s="5"/>
      <c r="D40" s="19"/>
      <c r="E40" s="19"/>
      <c r="F40" s="3"/>
    </row>
    <row r="41" spans="2:9">
      <c r="B41" s="175" t="s">
        <v>133</v>
      </c>
      <c r="C41" s="5"/>
      <c r="D41" s="19"/>
      <c r="E41" s="19"/>
      <c r="F41" s="3"/>
    </row>
    <row r="42" spans="2:9">
      <c r="B42" s="175" t="s">
        <v>130</v>
      </c>
      <c r="C42" s="178"/>
      <c r="D42" s="19"/>
      <c r="E42" s="19"/>
      <c r="F42" s="3"/>
    </row>
    <row r="43" spans="2:9">
      <c r="B43" s="175" t="s">
        <v>134</v>
      </c>
      <c r="C43" s="5"/>
      <c r="D43" s="19"/>
      <c r="E43" s="19"/>
      <c r="F43" s="3"/>
    </row>
    <row r="44" spans="2:9">
      <c r="B44" s="175" t="s">
        <v>131</v>
      </c>
      <c r="C44" s="178"/>
      <c r="D44" s="19"/>
      <c r="E44" s="19"/>
      <c r="F44" s="3"/>
    </row>
    <row r="45" spans="2:9">
      <c r="B45" s="92" t="s">
        <v>98</v>
      </c>
      <c r="C45" s="5"/>
      <c r="D45" s="19"/>
      <c r="E45" s="19"/>
      <c r="F45" s="3"/>
    </row>
    <row r="46" spans="2:9">
      <c r="B46" s="6" t="s">
        <v>52</v>
      </c>
      <c r="C46" s="20"/>
      <c r="D46" s="20"/>
      <c r="E46" s="20"/>
      <c r="F46" s="3"/>
    </row>
    <row r="47" spans="2:9">
      <c r="B47" s="3"/>
      <c r="F47" s="3"/>
    </row>
    <row r="48" spans="2:9">
      <c r="B48" s="3"/>
      <c r="C48" s="20"/>
      <c r="D48" s="20"/>
      <c r="E48" s="20"/>
      <c r="F48" s="3"/>
    </row>
    <row r="49" spans="2:6">
      <c r="B49" s="3"/>
      <c r="C49" s="20"/>
      <c r="D49" s="20"/>
      <c r="E49" s="20"/>
      <c r="F49" s="3"/>
    </row>
    <row r="50" spans="2:6">
      <c r="B50" s="3"/>
      <c r="C50" s="2"/>
      <c r="D50" s="3"/>
      <c r="E50" s="3"/>
      <c r="F50" s="3"/>
    </row>
    <row r="51" spans="2:6">
      <c r="B51" s="3"/>
      <c r="C51" s="2"/>
      <c r="D51" s="3"/>
      <c r="E51" s="3"/>
      <c r="F51" s="3"/>
    </row>
    <row r="52" spans="2:6">
      <c r="B52" s="3"/>
      <c r="C52" s="2"/>
      <c r="D52" s="3"/>
      <c r="E52" s="3"/>
      <c r="F52" s="3"/>
    </row>
    <row r="53" spans="2:6">
      <c r="B53" s="3"/>
      <c r="C53" s="2"/>
    </row>
  </sheetData>
  <mergeCells count="3">
    <mergeCell ref="B5:E5"/>
    <mergeCell ref="B7:E7"/>
    <mergeCell ref="B9:E9"/>
  </mergeCells>
  <pageMargins left="0.7" right="0.7" top="0.75" bottom="0.75" header="0.3" footer="0.3"/>
  <pageSetup scale="65" orientation="landscape" horizontalDpi="300" verticalDpi="300" r:id="rId1"/>
  <headerFooter>
    <oddHeader xml:space="preserve">&amp;R&amp;"Times New Roman,Bold"PUCO Case No. 24-503-EL-FOR
Source Files
Work Tables
Page &amp;P of &amp;N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110"/>
  <sheetViews>
    <sheetView showGridLines="0" view="pageLayout" zoomScaleNormal="90" workbookViewId="0">
      <selection activeCell="J10" sqref="J10"/>
    </sheetView>
  </sheetViews>
  <sheetFormatPr defaultRowHeight="12.75"/>
  <cols>
    <col min="2" max="2" width="15.5703125" customWidth="1"/>
    <col min="3" max="5" width="30.7109375" customWidth="1"/>
    <col min="6" max="6" width="16" bestFit="1" customWidth="1"/>
    <col min="7" max="7" width="12.5703125" bestFit="1" customWidth="1"/>
  </cols>
  <sheetData>
    <row r="1" spans="2:13">
      <c r="E1" s="83" t="s">
        <v>53</v>
      </c>
    </row>
    <row r="2" spans="2:13">
      <c r="E2" s="3"/>
    </row>
    <row r="3" spans="2:13">
      <c r="B3" s="2"/>
      <c r="C3" s="2"/>
      <c r="D3" s="2"/>
      <c r="E3" s="3"/>
      <c r="F3" s="1"/>
    </row>
    <row r="4" spans="2:13">
      <c r="B4" s="2"/>
      <c r="C4" s="2"/>
      <c r="D4" s="2"/>
      <c r="E4" s="3"/>
      <c r="F4" s="1"/>
    </row>
    <row r="5" spans="2:13">
      <c r="B5" s="352" t="s">
        <v>148</v>
      </c>
      <c r="C5" s="353"/>
      <c r="D5" s="353"/>
      <c r="E5" s="353"/>
      <c r="F5" s="84"/>
    </row>
    <row r="6" spans="2:13">
      <c r="B6" s="5"/>
      <c r="C6" s="5"/>
      <c r="D6" s="5"/>
      <c r="E6" s="6"/>
      <c r="F6" s="1"/>
    </row>
    <row r="7" spans="2:13">
      <c r="B7" s="354" t="s">
        <v>54</v>
      </c>
      <c r="C7" s="354"/>
      <c r="D7" s="354"/>
      <c r="E7" s="354"/>
      <c r="F7" s="85"/>
    </row>
    <row r="8" spans="2:13">
      <c r="B8" s="356" t="s">
        <v>55</v>
      </c>
      <c r="C8" s="356"/>
      <c r="D8" s="356"/>
      <c r="E8" s="356"/>
    </row>
    <row r="9" spans="2:13" ht="13.5" thickBot="1">
      <c r="B9" s="355" t="s">
        <v>1</v>
      </c>
      <c r="C9" s="355"/>
      <c r="D9" s="355"/>
      <c r="E9" s="355"/>
    </row>
    <row r="10" spans="2:13" ht="14.25">
      <c r="B10" s="9" t="str">
        <f>CONCATENATE('FE-T1'!$BE$1, " (d)")</f>
        <v>2024 (d)</v>
      </c>
      <c r="C10" s="96" t="s">
        <v>95</v>
      </c>
      <c r="D10" s="96" t="s">
        <v>96</v>
      </c>
      <c r="E10" s="136" t="s">
        <v>97</v>
      </c>
      <c r="F10" s="13"/>
      <c r="G10" s="13"/>
      <c r="J10" s="3"/>
      <c r="K10" s="3"/>
      <c r="L10" s="3"/>
      <c r="M10" s="3"/>
    </row>
    <row r="11" spans="2:13">
      <c r="B11" s="21"/>
      <c r="C11" s="133"/>
      <c r="D11" s="133"/>
      <c r="E11" s="135"/>
      <c r="F11" s="18"/>
      <c r="G11" s="15"/>
      <c r="J11" s="3" t="s">
        <v>139</v>
      </c>
      <c r="K11" s="3"/>
      <c r="L11" s="3"/>
      <c r="M11" s="3"/>
    </row>
    <row r="12" spans="2:13">
      <c r="B12" s="24" t="s">
        <v>5</v>
      </c>
      <c r="C12" s="228">
        <f ca="1">'FE-D6 (BDSM) &amp; (ADSM)'!P10</f>
        <v>3739</v>
      </c>
      <c r="D12" s="199">
        <f ca="1">C12</f>
        <v>3739</v>
      </c>
      <c r="E12" s="200">
        <f ca="1">C12</f>
        <v>3739</v>
      </c>
      <c r="F12" s="17"/>
      <c r="G12" s="17"/>
      <c r="J12" s="3"/>
      <c r="K12" s="3"/>
      <c r="L12" s="3"/>
      <c r="M12" s="3"/>
    </row>
    <row r="13" spans="2:13">
      <c r="B13" s="24" t="s">
        <v>6</v>
      </c>
      <c r="C13" s="228">
        <f ca="1">'FE-D6 (BDSM) &amp; (ADSM)'!P11</f>
        <v>3477.6193102462821</v>
      </c>
      <c r="D13" s="199">
        <f t="shared" ref="D13:D23" ca="1" si="0">C13</f>
        <v>3477.6193102462821</v>
      </c>
      <c r="E13" s="200">
        <f t="shared" ref="E13:E23" ca="1" si="1">C13</f>
        <v>3477.6193102462821</v>
      </c>
      <c r="F13" s="17"/>
      <c r="G13" s="17"/>
    </row>
    <row r="14" spans="2:13">
      <c r="B14" s="24" t="s">
        <v>7</v>
      </c>
      <c r="C14" s="228">
        <f ca="1">'FE-D6 (BDSM) &amp; (ADSM)'!P12</f>
        <v>3012.3378203507009</v>
      </c>
      <c r="D14" s="199">
        <f t="shared" ca="1" si="0"/>
        <v>3012.3378203507009</v>
      </c>
      <c r="E14" s="200">
        <f t="shared" ca="1" si="1"/>
        <v>3012.3378203507009</v>
      </c>
      <c r="F14" s="17"/>
      <c r="G14" s="17"/>
    </row>
    <row r="15" spans="2:13">
      <c r="B15" s="24" t="s">
        <v>8</v>
      </c>
      <c r="C15" s="228">
        <f ca="1">'FE-D6 (BDSM) &amp; (ADSM)'!P13</f>
        <v>2579.5445977915942</v>
      </c>
      <c r="D15" s="199">
        <f t="shared" ca="1" si="0"/>
        <v>2579.5445977915942</v>
      </c>
      <c r="E15" s="200">
        <f t="shared" ca="1" si="1"/>
        <v>2579.5445977915942</v>
      </c>
      <c r="F15" s="17"/>
      <c r="G15" s="17"/>
    </row>
    <row r="16" spans="2:13">
      <c r="B16" s="24" t="s">
        <v>9</v>
      </c>
      <c r="C16" s="228">
        <f ca="1">'FE-D6 (BDSM) &amp; (ADSM)'!P14</f>
        <v>3258.4486458806482</v>
      </c>
      <c r="D16" s="199">
        <f t="shared" ca="1" si="0"/>
        <v>3258.4486458806482</v>
      </c>
      <c r="E16" s="200">
        <f t="shared" ca="1" si="1"/>
        <v>3258.4486458806482</v>
      </c>
      <c r="F16" s="17"/>
      <c r="G16" s="17"/>
    </row>
    <row r="17" spans="2:10">
      <c r="B17" s="24" t="s">
        <v>10</v>
      </c>
      <c r="C17" s="228">
        <f ca="1">'FE-D6 (BDSM) &amp; (ADSM)'!P15</f>
        <v>3692.3886262603824</v>
      </c>
      <c r="D17" s="199">
        <f t="shared" ca="1" si="0"/>
        <v>3692.3886262603824</v>
      </c>
      <c r="E17" s="200">
        <f t="shared" ca="1" si="1"/>
        <v>3692.3886262603824</v>
      </c>
      <c r="F17" s="17"/>
      <c r="G17" s="17"/>
    </row>
    <row r="18" spans="2:10">
      <c r="B18" s="24" t="s">
        <v>11</v>
      </c>
      <c r="C18" s="228">
        <f ca="1">'FE-D6 (BDSM) &amp; (ADSM)'!P16</f>
        <v>3997.2000607025307</v>
      </c>
      <c r="D18" s="199">
        <f t="shared" ca="1" si="0"/>
        <v>3997.2000607025307</v>
      </c>
      <c r="E18" s="200">
        <f t="shared" ca="1" si="1"/>
        <v>3997.2000607025307</v>
      </c>
      <c r="F18" s="17"/>
      <c r="G18" s="17"/>
      <c r="I18" t="str">
        <f>CONCATENATE(B18," ",LEFT(B10,4))</f>
        <v>July 2024</v>
      </c>
      <c r="J18" s="190">
        <f ca="1">'FE-T2 (After DSM)'!G18-C18</f>
        <v>0</v>
      </c>
    </row>
    <row r="19" spans="2:10">
      <c r="B19" s="24" t="s">
        <v>12</v>
      </c>
      <c r="C19" s="228">
        <f ca="1">'FE-D6 (BDSM) &amp; (ADSM)'!P17</f>
        <v>3885.8172551086059</v>
      </c>
      <c r="D19" s="199">
        <f t="shared" ca="1" si="0"/>
        <v>3885.8172551086059</v>
      </c>
      <c r="E19" s="200">
        <f t="shared" ca="1" si="1"/>
        <v>3885.8172551086059</v>
      </c>
      <c r="F19" s="17"/>
      <c r="G19" s="17"/>
    </row>
    <row r="20" spans="2:10">
      <c r="B20" s="24" t="s">
        <v>13</v>
      </c>
      <c r="C20" s="228">
        <f ca="1">'FE-D6 (BDSM) &amp; (ADSM)'!P18</f>
        <v>3537.4652843236013</v>
      </c>
      <c r="D20" s="199">
        <f t="shared" ca="1" si="0"/>
        <v>3537.4652843236013</v>
      </c>
      <c r="E20" s="200">
        <f t="shared" ca="1" si="1"/>
        <v>3537.4652843236013</v>
      </c>
      <c r="F20" s="17"/>
      <c r="G20" s="17"/>
    </row>
    <row r="21" spans="2:10">
      <c r="B21" s="24" t="s">
        <v>14</v>
      </c>
      <c r="C21" s="228">
        <f ca="1">'FE-D6 (BDSM) &amp; (ADSM)'!P19</f>
        <v>2616.1285354924894</v>
      </c>
      <c r="D21" s="199">
        <f t="shared" ca="1" si="0"/>
        <v>2616.1285354924894</v>
      </c>
      <c r="E21" s="200">
        <f t="shared" ca="1" si="1"/>
        <v>2616.1285354924894</v>
      </c>
      <c r="F21" s="17"/>
      <c r="G21" s="17"/>
    </row>
    <row r="22" spans="2:10">
      <c r="B22" s="24" t="s">
        <v>15</v>
      </c>
      <c r="C22" s="228">
        <f ca="1">'FE-D6 (BDSM) &amp; (ADSM)'!P20</f>
        <v>2950.4122954781819</v>
      </c>
      <c r="D22" s="199">
        <f t="shared" ca="1" si="0"/>
        <v>2950.4122954781819</v>
      </c>
      <c r="E22" s="200">
        <f t="shared" ca="1" si="1"/>
        <v>2950.4122954781819</v>
      </c>
      <c r="F22" s="17"/>
      <c r="G22" s="17"/>
    </row>
    <row r="23" spans="2:10">
      <c r="B23" s="24" t="s">
        <v>16</v>
      </c>
      <c r="C23" s="228">
        <f ca="1">'FE-D6 (BDSM) &amp; (ADSM)'!P21</f>
        <v>3188.1168738483461</v>
      </c>
      <c r="D23" s="199">
        <f t="shared" ca="1" si="0"/>
        <v>3188.1168738483461</v>
      </c>
      <c r="E23" s="200">
        <f t="shared" ca="1" si="1"/>
        <v>3188.1168738483461</v>
      </c>
      <c r="F23" s="17"/>
      <c r="G23" s="17"/>
    </row>
    <row r="24" spans="2:10">
      <c r="B24" s="21"/>
      <c r="C24" s="225"/>
      <c r="D24" s="207"/>
      <c r="E24" s="208"/>
      <c r="F24" s="18"/>
      <c r="G24" s="18"/>
    </row>
    <row r="25" spans="2:10">
      <c r="B25" s="196" t="str">
        <f>CONCATENATE('FE-T1'!$BE$1+1, " (d)")</f>
        <v>2025 (d)</v>
      </c>
      <c r="C25" s="225"/>
      <c r="D25" s="207"/>
      <c r="E25" s="208"/>
      <c r="F25" s="18"/>
      <c r="G25" s="18"/>
    </row>
    <row r="26" spans="2:10">
      <c r="B26" s="21"/>
      <c r="C26" s="225"/>
      <c r="D26" s="207"/>
      <c r="E26" s="208"/>
      <c r="F26" s="18"/>
      <c r="G26" s="18"/>
    </row>
    <row r="27" spans="2:10">
      <c r="B27" s="24" t="s">
        <v>5</v>
      </c>
      <c r="C27" s="228">
        <f ca="1">'FE-D6 (BDSM) &amp; (ADSM)'!P25</f>
        <v>3482.179251489913</v>
      </c>
      <c r="D27" s="199">
        <f t="shared" ref="D27:D38" ca="1" si="2">C27</f>
        <v>3482.179251489913</v>
      </c>
      <c r="E27" s="200">
        <f t="shared" ref="E27:E38" ca="1" si="3">C27</f>
        <v>3482.179251489913</v>
      </c>
      <c r="F27" s="17"/>
      <c r="G27" s="17"/>
    </row>
    <row r="28" spans="2:10">
      <c r="B28" s="24" t="s">
        <v>6</v>
      </c>
      <c r="C28" s="228">
        <f ca="1">'FE-D6 (BDSM) &amp; (ADSM)'!P26</f>
        <v>3263.2042596906799</v>
      </c>
      <c r="D28" s="199">
        <f t="shared" ca="1" si="2"/>
        <v>3263.2042596906799</v>
      </c>
      <c r="E28" s="200">
        <f t="shared" ca="1" si="3"/>
        <v>3263.2042596906799</v>
      </c>
      <c r="F28" s="17"/>
      <c r="G28" s="17"/>
    </row>
    <row r="29" spans="2:10">
      <c r="B29" s="24" t="s">
        <v>7</v>
      </c>
      <c r="C29" s="228">
        <f ca="1">'FE-D6 (BDSM) &amp; (ADSM)'!P27</f>
        <v>2966.119192874472</v>
      </c>
      <c r="D29" s="199">
        <f t="shared" ca="1" si="2"/>
        <v>2966.119192874472</v>
      </c>
      <c r="E29" s="200">
        <f t="shared" ca="1" si="3"/>
        <v>2966.119192874472</v>
      </c>
      <c r="F29" s="17"/>
      <c r="G29" s="17"/>
    </row>
    <row r="30" spans="2:10">
      <c r="B30" s="24" t="s">
        <v>8</v>
      </c>
      <c r="C30" s="228">
        <f ca="1">'FE-D6 (BDSM) &amp; (ADSM)'!P28</f>
        <v>2562.7257024190826</v>
      </c>
      <c r="D30" s="199">
        <f t="shared" ca="1" si="2"/>
        <v>2562.7257024190826</v>
      </c>
      <c r="E30" s="200">
        <f t="shared" ca="1" si="3"/>
        <v>2562.7257024190826</v>
      </c>
      <c r="F30" s="17"/>
      <c r="G30" s="17"/>
    </row>
    <row r="31" spans="2:10">
      <c r="B31" s="24" t="s">
        <v>9</v>
      </c>
      <c r="C31" s="228">
        <f ca="1">'FE-D6 (BDSM) &amp; (ADSM)'!P29</f>
        <v>3253.7967422008264</v>
      </c>
      <c r="D31" s="199">
        <f t="shared" ca="1" si="2"/>
        <v>3253.7967422008264</v>
      </c>
      <c r="E31" s="200">
        <f t="shared" ca="1" si="3"/>
        <v>3253.7967422008264</v>
      </c>
      <c r="F31" s="17"/>
      <c r="G31" s="17"/>
    </row>
    <row r="32" spans="2:10">
      <c r="B32" s="24" t="s">
        <v>10</v>
      </c>
      <c r="C32" s="228">
        <f ca="1">'FE-D6 (BDSM) &amp; (ADSM)'!P30</f>
        <v>3695.2529771047548</v>
      </c>
      <c r="D32" s="199">
        <f t="shared" ca="1" si="2"/>
        <v>3695.2529771047548</v>
      </c>
      <c r="E32" s="200">
        <f t="shared" ca="1" si="3"/>
        <v>3695.2529771047548</v>
      </c>
      <c r="F32" s="17"/>
      <c r="G32" s="17"/>
    </row>
    <row r="33" spans="2:10">
      <c r="B33" s="24" t="s">
        <v>11</v>
      </c>
      <c r="C33" s="228">
        <f ca="1">'FE-D6 (BDSM) &amp; (ADSM)'!P31</f>
        <v>4003.0604601966052</v>
      </c>
      <c r="D33" s="199">
        <f t="shared" ca="1" si="2"/>
        <v>4003.0604601966052</v>
      </c>
      <c r="E33" s="200">
        <f t="shared" ca="1" si="3"/>
        <v>4003.0604601966052</v>
      </c>
      <c r="F33" s="17"/>
      <c r="G33" s="17"/>
      <c r="I33" t="str">
        <f>CONCATENATE(B33," ",LEFT(B25,4))</f>
        <v>July 2025</v>
      </c>
      <c r="J33" s="190">
        <f ca="1">'FE-T2 (After DSM)'!G19-C33</f>
        <v>0</v>
      </c>
    </row>
    <row r="34" spans="2:10">
      <c r="B34" s="24" t="s">
        <v>12</v>
      </c>
      <c r="C34" s="228">
        <f ca="1">'FE-D6 (BDSM) &amp; (ADSM)'!P32</f>
        <v>3894.5490214446395</v>
      </c>
      <c r="D34" s="199">
        <f t="shared" ca="1" si="2"/>
        <v>3894.5490214446395</v>
      </c>
      <c r="E34" s="200">
        <f t="shared" ca="1" si="3"/>
        <v>3894.5490214446395</v>
      </c>
      <c r="F34" s="17"/>
      <c r="G34" s="17"/>
    </row>
    <row r="35" spans="2:10">
      <c r="B35" s="24" t="s">
        <v>13</v>
      </c>
      <c r="C35" s="228">
        <f ca="1">'FE-D6 (BDSM) &amp; (ADSM)'!P33</f>
        <v>3546.4230260360432</v>
      </c>
      <c r="D35" s="199">
        <f t="shared" ca="1" si="2"/>
        <v>3546.4230260360432</v>
      </c>
      <c r="E35" s="200">
        <f t="shared" ca="1" si="3"/>
        <v>3546.4230260360432</v>
      </c>
      <c r="F35" s="17"/>
      <c r="G35" s="17"/>
    </row>
    <row r="36" spans="2:10">
      <c r="B36" s="24" t="s">
        <v>14</v>
      </c>
      <c r="C36" s="228">
        <f ca="1">'FE-D6 (BDSM) &amp; (ADSM)'!P34</f>
        <v>2630.0244275057548</v>
      </c>
      <c r="D36" s="199">
        <f t="shared" ca="1" si="2"/>
        <v>2630.0244275057548</v>
      </c>
      <c r="E36" s="200">
        <f t="shared" ca="1" si="3"/>
        <v>2630.0244275057548</v>
      </c>
      <c r="F36" s="17"/>
      <c r="G36" s="17"/>
    </row>
    <row r="37" spans="2:10">
      <c r="B37" s="24" t="s">
        <v>15</v>
      </c>
      <c r="C37" s="228">
        <f ca="1">'FE-D6 (BDSM) &amp; (ADSM)'!P35</f>
        <v>2981.1030761491706</v>
      </c>
      <c r="D37" s="199">
        <f t="shared" ca="1" si="2"/>
        <v>2981.1030761491706</v>
      </c>
      <c r="E37" s="200">
        <f t="shared" ca="1" si="3"/>
        <v>2981.1030761491706</v>
      </c>
      <c r="F37" s="17"/>
      <c r="G37" s="17"/>
    </row>
    <row r="38" spans="2:10" ht="13.5" thickBot="1">
      <c r="B38" s="25" t="s">
        <v>16</v>
      </c>
      <c r="C38" s="234">
        <f ca="1">'FE-D6 (BDSM) &amp; (ADSM)'!P36</f>
        <v>3220.7934744319887</v>
      </c>
      <c r="D38" s="201">
        <f t="shared" ca="1" si="2"/>
        <v>3220.7934744319887</v>
      </c>
      <c r="E38" s="202">
        <f t="shared" ca="1" si="3"/>
        <v>3220.7934744319887</v>
      </c>
      <c r="F38" s="17"/>
      <c r="G38" s="17"/>
    </row>
    <row r="39" spans="2:10">
      <c r="B39" s="176"/>
      <c r="C39" s="177"/>
      <c r="D39" s="177"/>
      <c r="E39" s="177"/>
      <c r="F39" s="17"/>
      <c r="G39" s="17"/>
    </row>
    <row r="40" spans="2:10">
      <c r="B40" s="6" t="s">
        <v>99</v>
      </c>
      <c r="C40" s="6"/>
      <c r="D40" s="6"/>
      <c r="E40" s="6"/>
    </row>
    <row r="41" spans="2:10">
      <c r="B41" s="6" t="s">
        <v>129</v>
      </c>
      <c r="C41" s="6"/>
      <c r="D41" s="6"/>
      <c r="E41" s="6"/>
    </row>
    <row r="42" spans="2:10">
      <c r="B42" s="6" t="s">
        <v>130</v>
      </c>
      <c r="C42" s="6"/>
      <c r="D42" s="6"/>
      <c r="E42" s="6"/>
    </row>
    <row r="43" spans="2:10">
      <c r="B43" s="6" t="s">
        <v>132</v>
      </c>
      <c r="C43" s="6"/>
      <c r="D43" s="6"/>
      <c r="E43" s="6"/>
    </row>
    <row r="44" spans="2:10">
      <c r="B44" s="6" t="s">
        <v>131</v>
      </c>
      <c r="C44" s="6"/>
      <c r="D44" s="6"/>
      <c r="E44" s="6"/>
    </row>
    <row r="45" spans="2:10">
      <c r="B45" s="92" t="s">
        <v>98</v>
      </c>
      <c r="C45" s="3"/>
      <c r="D45" s="3"/>
      <c r="E45" s="3"/>
    </row>
    <row r="46" spans="2:10">
      <c r="B46" s="6" t="s">
        <v>52</v>
      </c>
      <c r="C46" s="3"/>
      <c r="D46" s="3"/>
      <c r="E46" s="3"/>
    </row>
    <row r="47" spans="2:10">
      <c r="B47" s="3"/>
      <c r="C47" s="3"/>
      <c r="D47" s="3"/>
      <c r="E47" s="3"/>
    </row>
    <row r="48" spans="2:10">
      <c r="B48" s="3"/>
      <c r="C48" s="3"/>
      <c r="D48" s="3"/>
      <c r="E48" s="3"/>
    </row>
    <row r="49" spans="2:5">
      <c r="B49" s="3"/>
      <c r="C49" s="3"/>
      <c r="D49" s="3"/>
      <c r="E49" s="3"/>
    </row>
    <row r="50" spans="2:5">
      <c r="B50" s="3"/>
      <c r="C50" s="3"/>
      <c r="D50" s="3"/>
      <c r="E50" s="3"/>
    </row>
    <row r="51" spans="2:5">
      <c r="B51" s="3"/>
      <c r="C51" s="3"/>
      <c r="D51" s="3"/>
      <c r="E51" s="3"/>
    </row>
    <row r="52" spans="2:5">
      <c r="B52" s="3"/>
      <c r="C52" s="3"/>
      <c r="D52" s="3"/>
      <c r="E52" s="3"/>
    </row>
    <row r="53" spans="2:5">
      <c r="B53" s="3"/>
      <c r="C53" s="3"/>
      <c r="D53" s="3"/>
      <c r="E53" s="3"/>
    </row>
    <row r="54" spans="2:5">
      <c r="B54" s="3"/>
      <c r="C54" s="3"/>
      <c r="D54" s="3"/>
      <c r="E54" s="3"/>
    </row>
    <row r="55" spans="2:5">
      <c r="B55" s="3"/>
      <c r="C55" s="3"/>
      <c r="D55" s="3"/>
      <c r="E55" s="3"/>
    </row>
    <row r="56" spans="2:5">
      <c r="B56" s="3"/>
      <c r="C56" s="3"/>
      <c r="D56" s="3"/>
      <c r="E56" s="3"/>
    </row>
    <row r="57" spans="2:5">
      <c r="B57" s="3"/>
      <c r="C57" s="3"/>
      <c r="D57" s="3"/>
      <c r="E57" s="3"/>
    </row>
    <row r="58" spans="2:5">
      <c r="B58" s="3"/>
      <c r="C58" s="3"/>
      <c r="D58" s="3"/>
      <c r="E58" s="3"/>
    </row>
    <row r="59" spans="2:5">
      <c r="B59" s="3"/>
      <c r="C59" s="3"/>
      <c r="D59" s="3"/>
      <c r="E59" s="3"/>
    </row>
    <row r="60" spans="2:5">
      <c r="B60" s="3"/>
      <c r="C60" s="3"/>
      <c r="D60" s="3"/>
      <c r="E60" s="3"/>
    </row>
    <row r="61" spans="2:5">
      <c r="B61" s="3"/>
      <c r="C61" s="3"/>
      <c r="D61" s="3"/>
      <c r="E61" s="3"/>
    </row>
    <row r="62" spans="2:5">
      <c r="B62" s="3"/>
      <c r="C62" s="3"/>
      <c r="D62" s="3"/>
      <c r="E62" s="3"/>
    </row>
    <row r="63" spans="2:5">
      <c r="B63" s="3"/>
      <c r="C63" s="3"/>
      <c r="D63" s="3"/>
      <c r="E63" s="3"/>
    </row>
    <row r="64" spans="2:5">
      <c r="B64" s="3"/>
      <c r="C64" s="3"/>
      <c r="D64" s="3"/>
      <c r="E64" s="3"/>
    </row>
    <row r="65" spans="2:5">
      <c r="B65" s="3"/>
      <c r="C65" s="3"/>
      <c r="D65" s="3"/>
      <c r="E65" s="3"/>
    </row>
    <row r="66" spans="2:5">
      <c r="B66" s="3"/>
      <c r="C66" s="3"/>
      <c r="D66" s="3"/>
      <c r="E66" s="3"/>
    </row>
    <row r="67" spans="2:5">
      <c r="B67" s="3"/>
      <c r="C67" s="3"/>
      <c r="D67" s="3"/>
      <c r="E67" s="3"/>
    </row>
    <row r="68" spans="2:5">
      <c r="B68" s="3"/>
      <c r="C68" s="3"/>
      <c r="D68" s="3"/>
      <c r="E68" s="3"/>
    </row>
    <row r="69" spans="2:5">
      <c r="B69" s="3"/>
      <c r="C69" s="3"/>
      <c r="D69" s="3"/>
      <c r="E69" s="3"/>
    </row>
    <row r="70" spans="2:5">
      <c r="B70" s="3"/>
      <c r="C70" s="3"/>
      <c r="D70" s="3"/>
      <c r="E70" s="3"/>
    </row>
    <row r="71" spans="2:5">
      <c r="B71" s="3"/>
      <c r="C71" s="3"/>
      <c r="D71" s="3"/>
      <c r="E71" s="3"/>
    </row>
    <row r="72" spans="2:5">
      <c r="B72" s="3"/>
      <c r="C72" s="3"/>
      <c r="D72" s="3"/>
      <c r="E72" s="3"/>
    </row>
    <row r="73" spans="2:5">
      <c r="B73" s="3"/>
      <c r="C73" s="3"/>
      <c r="D73" s="3"/>
      <c r="E73" s="3"/>
    </row>
    <row r="74" spans="2:5">
      <c r="B74" s="3"/>
      <c r="C74" s="3"/>
      <c r="D74" s="3"/>
      <c r="E74" s="3"/>
    </row>
    <row r="75" spans="2:5">
      <c r="B75" s="3"/>
      <c r="C75" s="3"/>
      <c r="D75" s="3"/>
      <c r="E75" s="3"/>
    </row>
    <row r="76" spans="2:5">
      <c r="B76" s="3"/>
      <c r="C76" s="3"/>
      <c r="D76" s="3"/>
      <c r="E76" s="3"/>
    </row>
    <row r="77" spans="2:5">
      <c r="B77" s="3"/>
      <c r="C77" s="3"/>
      <c r="D77" s="3"/>
      <c r="E77" s="3"/>
    </row>
    <row r="78" spans="2:5">
      <c r="B78" s="3"/>
      <c r="C78" s="3"/>
      <c r="D78" s="3"/>
      <c r="E78" s="3"/>
    </row>
    <row r="79" spans="2:5">
      <c r="B79" s="3"/>
      <c r="C79" s="3"/>
      <c r="D79" s="3"/>
      <c r="E79" s="3"/>
    </row>
    <row r="80" spans="2:5">
      <c r="B80" s="3"/>
      <c r="C80" s="3"/>
      <c r="D80" s="3"/>
      <c r="E80" s="3"/>
    </row>
    <row r="81" spans="2:5">
      <c r="B81" s="3"/>
      <c r="C81" s="3"/>
      <c r="D81" s="3"/>
      <c r="E81" s="3"/>
    </row>
    <row r="82" spans="2:5">
      <c r="B82" s="3"/>
      <c r="C82" s="3"/>
      <c r="D82" s="3"/>
      <c r="E82" s="3"/>
    </row>
    <row r="83" spans="2:5">
      <c r="B83" s="3"/>
      <c r="C83" s="3"/>
      <c r="D83" s="3"/>
      <c r="E83" s="3"/>
    </row>
    <row r="84" spans="2:5">
      <c r="B84" s="3"/>
      <c r="C84" s="3"/>
      <c r="D84" s="3"/>
      <c r="E84" s="3"/>
    </row>
    <row r="85" spans="2:5">
      <c r="B85" s="3"/>
      <c r="C85" s="3"/>
      <c r="D85" s="3"/>
      <c r="E85" s="3"/>
    </row>
    <row r="86" spans="2:5">
      <c r="B86" s="3"/>
      <c r="C86" s="3"/>
      <c r="D86" s="3"/>
      <c r="E86" s="3"/>
    </row>
    <row r="87" spans="2:5">
      <c r="B87" s="3"/>
      <c r="C87" s="3"/>
      <c r="D87" s="3"/>
      <c r="E87" s="3"/>
    </row>
    <row r="88" spans="2:5">
      <c r="B88" s="3"/>
      <c r="C88" s="3"/>
      <c r="D88" s="3"/>
      <c r="E88" s="3"/>
    </row>
    <row r="89" spans="2:5">
      <c r="B89" s="3"/>
      <c r="C89" s="3"/>
      <c r="D89" s="3"/>
      <c r="E89" s="3"/>
    </row>
    <row r="90" spans="2:5">
      <c r="B90" s="3"/>
      <c r="C90" s="3"/>
      <c r="D90" s="3"/>
      <c r="E90" s="3"/>
    </row>
    <row r="91" spans="2:5">
      <c r="B91" s="3"/>
      <c r="C91" s="3"/>
      <c r="D91" s="3"/>
      <c r="E91" s="3"/>
    </row>
    <row r="92" spans="2:5">
      <c r="B92" s="3"/>
      <c r="C92" s="3"/>
      <c r="D92" s="3"/>
      <c r="E92" s="3"/>
    </row>
    <row r="93" spans="2:5">
      <c r="B93" s="3"/>
      <c r="C93" s="3"/>
      <c r="D93" s="3"/>
      <c r="E93" s="3"/>
    </row>
    <row r="94" spans="2:5">
      <c r="B94" s="3"/>
      <c r="C94" s="3"/>
      <c r="D94" s="3"/>
      <c r="E94" s="3"/>
    </row>
    <row r="95" spans="2:5">
      <c r="B95" s="3"/>
      <c r="C95" s="3"/>
      <c r="D95" s="3"/>
      <c r="E95" s="3"/>
    </row>
    <row r="96" spans="2:5">
      <c r="B96" s="3"/>
      <c r="C96" s="3"/>
      <c r="D96" s="3"/>
      <c r="E96" s="3"/>
    </row>
    <row r="97" spans="2:5">
      <c r="B97" s="3"/>
      <c r="C97" s="3"/>
      <c r="D97" s="3"/>
      <c r="E97" s="3"/>
    </row>
    <row r="98" spans="2:5">
      <c r="B98" s="3"/>
      <c r="C98" s="3"/>
      <c r="D98" s="3"/>
      <c r="E98" s="3"/>
    </row>
    <row r="99" spans="2:5">
      <c r="B99" s="3"/>
      <c r="C99" s="3"/>
      <c r="D99" s="3"/>
      <c r="E99" s="3"/>
    </row>
    <row r="100" spans="2:5">
      <c r="B100" s="3"/>
      <c r="C100" s="3"/>
      <c r="D100" s="3"/>
      <c r="E100" s="3"/>
    </row>
    <row r="101" spans="2:5">
      <c r="B101" s="3"/>
      <c r="C101" s="3"/>
      <c r="D101" s="3"/>
      <c r="E101" s="3"/>
    </row>
    <row r="102" spans="2:5">
      <c r="B102" s="3"/>
      <c r="C102" s="3"/>
      <c r="D102" s="3"/>
      <c r="E102" s="3"/>
    </row>
    <row r="103" spans="2:5">
      <c r="B103" s="3"/>
      <c r="C103" s="3"/>
      <c r="D103" s="3"/>
      <c r="E103" s="3"/>
    </row>
    <row r="104" spans="2:5">
      <c r="B104" s="3"/>
      <c r="C104" s="3"/>
      <c r="D104" s="3"/>
      <c r="E104" s="3"/>
    </row>
    <row r="105" spans="2:5">
      <c r="B105" s="3"/>
      <c r="C105" s="3"/>
      <c r="D105" s="3"/>
      <c r="E105" s="3"/>
    </row>
    <row r="106" spans="2:5">
      <c r="B106" s="3"/>
      <c r="C106" s="3"/>
      <c r="D106" s="3"/>
      <c r="E106" s="3"/>
    </row>
    <row r="107" spans="2:5">
      <c r="B107" s="3"/>
      <c r="C107" s="3"/>
      <c r="D107" s="3"/>
      <c r="E107" s="3"/>
    </row>
    <row r="108" spans="2:5">
      <c r="B108" s="3"/>
      <c r="C108" s="3"/>
      <c r="D108" s="3"/>
      <c r="E108" s="3"/>
    </row>
    <row r="109" spans="2:5">
      <c r="B109" s="3"/>
      <c r="C109" s="3"/>
      <c r="D109" s="3"/>
      <c r="E109" s="3"/>
    </row>
    <row r="110" spans="2:5">
      <c r="B110" s="3"/>
      <c r="C110" s="3"/>
      <c r="D110" s="3"/>
      <c r="E110" s="3"/>
    </row>
  </sheetData>
  <mergeCells count="4">
    <mergeCell ref="B5:E5"/>
    <mergeCell ref="B7:E7"/>
    <mergeCell ref="B8:E8"/>
    <mergeCell ref="B9:E9"/>
  </mergeCells>
  <pageMargins left="0.7" right="0.7" top="0.75" bottom="0.75" header="0.3" footer="0.3"/>
  <pageSetup scale="65" orientation="landscape" horizontalDpi="300" verticalDpi="300" r:id="rId1"/>
  <headerFooter>
    <oddHeader xml:space="preserve">&amp;R&amp;"Times New Roman,Bold"PUCO Case No. 24-503-EL-FOR
Source Files
Work Tables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BC2882B6907449D3E6B2BE9998080" ma:contentTypeVersion="4" ma:contentTypeDescription="Create a new document." ma:contentTypeScope="" ma:versionID="a69bd1780ef4fb60611e98ec18a7e853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BE1C98E3-D1F3-4839-9E28-318C55AF62E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9D2B3AA-E5FF-4ACA-90C6-8D3DECA69E94}"/>
</file>

<file path=customXml/itemProps3.xml><?xml version="1.0" encoding="utf-8"?>
<ds:datastoreItem xmlns:ds="http://schemas.openxmlformats.org/officeDocument/2006/customXml" ds:itemID="{E85449AD-D653-48A0-BB65-8C1C2C5AA3A2}"/>
</file>

<file path=customXml/itemProps4.xml><?xml version="1.0" encoding="utf-8"?>
<ds:datastoreItem xmlns:ds="http://schemas.openxmlformats.org/officeDocument/2006/customXml" ds:itemID="{41443927-D341-4249-892C-F1D8BFF1DD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Workflow</vt:lpstr>
      <vt:lpstr>mPeak_Data</vt:lpstr>
      <vt:lpstr>DEO_work</vt:lpstr>
      <vt:lpstr>DEK_work</vt:lpstr>
      <vt:lpstr>FE-T1</vt:lpstr>
      <vt:lpstr>FE-T2 (Before DSM)</vt:lpstr>
      <vt:lpstr>FE-T2 (After DSM)</vt:lpstr>
      <vt:lpstr>FE-T3</vt:lpstr>
      <vt:lpstr>FE-T4</vt:lpstr>
      <vt:lpstr>FE-D1</vt:lpstr>
      <vt:lpstr>FE-D1 (ADSM)</vt:lpstr>
      <vt:lpstr>FE-D3 (BDSM)</vt:lpstr>
      <vt:lpstr>FE-D3 (ADSM)</vt:lpstr>
      <vt:lpstr>FE-D5 (BDSM) &amp; (ADSM)</vt:lpstr>
      <vt:lpstr>FE-D6 (BDSM) &amp; (ADSM)</vt:lpstr>
      <vt:lpstr>FC_Begin</vt:lpstr>
      <vt:lpstr>LL_ratio</vt:lpstr>
      <vt:lpstr>'FE-D3 (BDSM)'!Print_Area</vt:lpstr>
      <vt:lpstr>'FE-D5 (BDSM) &amp; (ADSM)'!Print_Area</vt:lpstr>
      <vt:lpstr>'FE-D6 (BDSM) &amp; (ADSM)'!Print_Area</vt:lpstr>
      <vt:lpstr>'FE-T3'!Print_Area</vt:lpstr>
      <vt:lpstr>'FE-T4'!Print_Area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OH_IRP_work_tables_2024 Updated</dc:subject>
  <dc:creator>Brunson, Leon T.</dc:creator>
  <cp:lastModifiedBy>Sunderman, Minna</cp:lastModifiedBy>
  <cp:lastPrinted>2024-07-24T20:33:01Z</cp:lastPrinted>
  <dcterms:created xsi:type="dcterms:W3CDTF">2014-04-25T19:40:58Z</dcterms:created>
  <dcterms:modified xsi:type="dcterms:W3CDTF">2024-07-24T20:33:19Z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0x01010008BBC2882B6907449D3E6B2BE9998080</vt:lpwstr>
  </property>
</Properties>
</file>